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abello\Desktop\SIRECI\ANUAL\RECIBIDOS\"/>
    </mc:Choice>
  </mc:AlternateContent>
  <bookViews>
    <workbookView xWindow="0" yWindow="0" windowWidth="20490" windowHeight="7665" tabRatio="934" firstSheet="1" activeTab="1"/>
  </bookViews>
  <sheets>
    <sheet name="Seguimiento planes MIPG" sheetId="20" state="hidden" r:id="rId1"/>
    <sheet name="TALENTO_ HUMANO" sheetId="16" r:id="rId2"/>
    <sheet name="DIRECCIONAMIENTO ESTRATEGICO" sheetId="9" r:id="rId3"/>
    <sheet name="VALORES PARA RESULTADOS" sheetId="10" r:id="rId4"/>
    <sheet name="TALENTO HUMANO" sheetId="11" state="hidden" r:id="rId5"/>
    <sheet name="EVALUACIÓN DE RESULTADOS " sheetId="17" r:id="rId6"/>
    <sheet name="INFORMACIÓN Y COMUNICACIÓN" sheetId="12" r:id="rId7"/>
    <sheet name="GESTIÓN DEL CONOCIMIENTO " sheetId="15" r:id="rId8"/>
    <sheet name="CONTROL INTERNO" sheetId="18" r:id="rId9"/>
    <sheet name="Control de cambios" sheetId="21" state="hidden" r:id="rId10"/>
    <sheet name="GESTIÓN DEL CONOCIMIENTO" sheetId="13" state="hidden" r:id="rId11"/>
    <sheet name="EVALUACIÓN DE RESULTADOS" sheetId="14" state="hidden" r:id="rId12"/>
    <sheet name="Categorías" sheetId="7" state="hidden" r:id="rId13"/>
  </sheets>
  <externalReferences>
    <externalReference r:id="rId14"/>
    <externalReference r:id="rId15"/>
  </externalReferences>
  <definedNames>
    <definedName name="_xlnm._FilterDatabase" localSheetId="8" hidden="1">'CONTROL INTERNO'!$A$3:$AG$8</definedName>
    <definedName name="_xlnm._FilterDatabase" localSheetId="2" hidden="1">'DIRECCIONAMIENTO ESTRATEGICO'!$A$3:$AF$61</definedName>
    <definedName name="_xlnm._FilterDatabase" localSheetId="11" hidden="1">'EVALUACIÓN DE RESULTADOS'!$A$1:$R$9</definedName>
    <definedName name="_xlnm._FilterDatabase" localSheetId="5" hidden="1">'EVALUACIÓN DE RESULTADOS '!$B$3:$AF$3</definedName>
    <definedName name="_xlnm._FilterDatabase" localSheetId="10" hidden="1">'GESTIÓN DEL CONOCIMIENTO'!$A$1:$R$5</definedName>
    <definedName name="_xlnm._FilterDatabase" localSheetId="7" hidden="1">'GESTIÓN DEL CONOCIMIENTO '!$A$3:$AE$3</definedName>
    <definedName name="_xlnm._FilterDatabase" localSheetId="6" hidden="1">'INFORMACIÓN Y COMUNICACIÓN'!$A$3:$AG$34</definedName>
    <definedName name="_xlnm._FilterDatabase" localSheetId="1" hidden="1">'TALENTO_ HUMANO'!$A$3:$AI$20</definedName>
    <definedName name="_xlnm._FilterDatabase" localSheetId="3" hidden="1">'VALORES PARA RESULTADOS'!$A$3:$AF$32</definedName>
  </definedNames>
  <calcPr calcId="162913"/>
  <fileRecoveryPr autoRecover="0"/>
</workbook>
</file>

<file path=xl/calcChain.xml><?xml version="1.0" encoding="utf-8"?>
<calcChain xmlns="http://schemas.openxmlformats.org/spreadsheetml/2006/main">
  <c r="Z25" i="10" l="1"/>
  <c r="AA25" i="10"/>
  <c r="AB25" i="10"/>
  <c r="Y25" i="10"/>
  <c r="Z4" i="17"/>
  <c r="AA4" i="17"/>
  <c r="AB4" i="17"/>
  <c r="Y4" i="17"/>
  <c r="Y15" i="9" l="1"/>
  <c r="Y16" i="9" l="1"/>
  <c r="Y14" i="9"/>
  <c r="Z14" i="9" l="1"/>
  <c r="Y17" i="9"/>
  <c r="Z10" i="17" l="1"/>
  <c r="AA10" i="17"/>
  <c r="AB10" i="17"/>
  <c r="Y10" i="9" l="1"/>
  <c r="Y10" i="17" s="1"/>
  <c r="Y5" i="9"/>
  <c r="Z6" i="12" l="1"/>
  <c r="Z5" i="12"/>
  <c r="Y34" i="12" l="1"/>
  <c r="Y33" i="12"/>
  <c r="Y32" i="12"/>
  <c r="Y31" i="12"/>
  <c r="Y30" i="12"/>
  <c r="Y29" i="12"/>
  <c r="Y28" i="12"/>
  <c r="Y27" i="12"/>
  <c r="Y26" i="12"/>
  <c r="Y25" i="12"/>
  <c r="Y24" i="12"/>
  <c r="Y23" i="12"/>
  <c r="Y22" i="12"/>
  <c r="Y16" i="12"/>
  <c r="Y15" i="12"/>
  <c r="Y27" i="10"/>
  <c r="Y26" i="10"/>
  <c r="Y10" i="10"/>
  <c r="Y9" i="10"/>
  <c r="Y8" i="10"/>
  <c r="Y7" i="10"/>
  <c r="Y6" i="9"/>
  <c r="Y7" i="9"/>
  <c r="Y8" i="9"/>
  <c r="Y5" i="10" l="1"/>
  <c r="Y49" i="9"/>
  <c r="Y48" i="9"/>
  <c r="Y47" i="9"/>
  <c r="Y46" i="9"/>
  <c r="H7" i="20" l="1"/>
  <c r="N13" i="20"/>
  <c r="N12" i="20"/>
  <c r="N11" i="20"/>
  <c r="N10" i="20"/>
  <c r="N9" i="20"/>
  <c r="N8" i="20"/>
  <c r="N7" i="20"/>
  <c r="K13" i="20"/>
  <c r="K12" i="20"/>
  <c r="K11" i="20"/>
  <c r="K10" i="20"/>
  <c r="K9" i="20"/>
  <c r="K8" i="20"/>
  <c r="K7" i="20"/>
  <c r="H13" i="20"/>
  <c r="H12" i="20"/>
  <c r="H11" i="20"/>
  <c r="H10" i="20"/>
  <c r="H9" i="20"/>
  <c r="H8" i="20"/>
  <c r="E8" i="20"/>
  <c r="E9" i="20"/>
  <c r="E10" i="20"/>
  <c r="E11" i="20"/>
  <c r="E12" i="20"/>
  <c r="E13" i="20"/>
  <c r="E7" i="20"/>
  <c r="V25" i="10" l="1"/>
  <c r="W25" i="10"/>
  <c r="X25" i="10"/>
  <c r="U25" i="10"/>
  <c r="G35" i="20" l="1"/>
  <c r="F35" i="20"/>
  <c r="H35" i="20" s="1"/>
  <c r="V10" i="17" l="1"/>
  <c r="W10" i="17"/>
  <c r="X10" i="17"/>
  <c r="U10" i="17"/>
  <c r="V4" i="17"/>
  <c r="U34" i="12" l="1"/>
  <c r="U33" i="12"/>
  <c r="U32" i="12"/>
  <c r="U31" i="12"/>
  <c r="U30" i="12"/>
  <c r="U29" i="12"/>
  <c r="U28" i="12"/>
  <c r="U27" i="12"/>
  <c r="U26" i="12"/>
  <c r="U25" i="12"/>
  <c r="U24" i="12"/>
  <c r="U23" i="12"/>
  <c r="U22" i="12"/>
  <c r="U13" i="12"/>
  <c r="U31" i="10"/>
  <c r="U30" i="10"/>
  <c r="U29" i="10"/>
  <c r="U27" i="10"/>
  <c r="U26" i="10"/>
  <c r="U10" i="10"/>
  <c r="U8" i="10"/>
  <c r="U7" i="10"/>
  <c r="U24" i="9"/>
  <c r="U8" i="9"/>
  <c r="U7" i="9"/>
  <c r="V10" i="12" l="1"/>
  <c r="U7" i="12"/>
  <c r="U18" i="10"/>
  <c r="U49" i="9" l="1"/>
  <c r="U48" i="9"/>
  <c r="U47" i="9"/>
  <c r="U46" i="9"/>
  <c r="D35" i="20" l="1"/>
  <c r="V4" i="16" l="1"/>
  <c r="I42" i="9" l="1"/>
  <c r="I43" i="9"/>
  <c r="I44" i="9"/>
  <c r="I45" i="9"/>
  <c r="I46" i="9"/>
  <c r="I47" i="9"/>
  <c r="I48" i="9"/>
  <c r="I49" i="9"/>
  <c r="I41" i="9"/>
  <c r="C35" i="20" l="1"/>
  <c r="E35" i="20" s="1"/>
  <c r="M14" i="20" l="1"/>
  <c r="L14" i="20"/>
  <c r="J14" i="20"/>
  <c r="I14" i="20"/>
  <c r="G14" i="20"/>
  <c r="F14" i="20"/>
  <c r="D14" i="20"/>
  <c r="C14" i="20"/>
  <c r="E14" i="20" s="1"/>
  <c r="H14" i="20" l="1"/>
  <c r="K14" i="20"/>
  <c r="N14" i="20"/>
  <c r="C22" i="20"/>
  <c r="G33" i="20" l="1"/>
  <c r="I33" i="20"/>
  <c r="L33" i="20"/>
  <c r="D33" i="20"/>
  <c r="G32" i="20"/>
  <c r="I32" i="20"/>
  <c r="L32" i="20"/>
  <c r="D32" i="20"/>
  <c r="G30" i="20"/>
  <c r="I30" i="20"/>
  <c r="L30" i="20"/>
  <c r="G31" i="20"/>
  <c r="I31" i="20"/>
  <c r="L31" i="20"/>
  <c r="D31" i="20"/>
  <c r="D30" i="20"/>
  <c r="G29" i="20"/>
  <c r="I29" i="20"/>
  <c r="L29" i="20"/>
  <c r="D29" i="20"/>
  <c r="G28" i="20"/>
  <c r="I28" i="20"/>
  <c r="L28" i="20"/>
  <c r="D28" i="20"/>
  <c r="G27" i="20"/>
  <c r="I27" i="20"/>
  <c r="L27" i="20"/>
  <c r="D27" i="20"/>
  <c r="G26" i="20"/>
  <c r="I26" i="20"/>
  <c r="L26" i="20"/>
  <c r="D26" i="20"/>
  <c r="G25" i="20"/>
  <c r="I25" i="20"/>
  <c r="L25" i="20"/>
  <c r="D25" i="20"/>
  <c r="G24" i="20"/>
  <c r="I24" i="20"/>
  <c r="L24" i="20"/>
  <c r="D24" i="20"/>
  <c r="G23" i="20"/>
  <c r="I23" i="20"/>
  <c r="L23" i="20"/>
  <c r="D23" i="20"/>
  <c r="L22" i="20"/>
  <c r="I22" i="20"/>
  <c r="G22" i="20"/>
  <c r="D22" i="20"/>
  <c r="E22" i="20" s="1"/>
  <c r="M33" i="20"/>
  <c r="J33" i="20"/>
  <c r="C33" i="20"/>
  <c r="F33" i="20"/>
  <c r="H33" i="20" l="1"/>
  <c r="N33" i="20"/>
  <c r="K33" i="20"/>
  <c r="E33" i="20"/>
  <c r="M32" i="20"/>
  <c r="N32" i="20" s="1"/>
  <c r="J32" i="20"/>
  <c r="K32" i="20" s="1"/>
  <c r="F32" i="20"/>
  <c r="H32" i="20" s="1"/>
  <c r="M28" i="20"/>
  <c r="N28" i="20" s="1"/>
  <c r="J28" i="20"/>
  <c r="K28" i="20" s="1"/>
  <c r="F28" i="20"/>
  <c r="H28" i="20" s="1"/>
  <c r="M29" i="20"/>
  <c r="N29" i="20" s="1"/>
  <c r="J29" i="20"/>
  <c r="K29" i="20" s="1"/>
  <c r="F29" i="20"/>
  <c r="H29" i="20" s="1"/>
  <c r="J31" i="20"/>
  <c r="K31" i="20" s="1"/>
  <c r="M31" i="20"/>
  <c r="N31" i="20" s="1"/>
  <c r="M30" i="20"/>
  <c r="N30" i="20" s="1"/>
  <c r="J30" i="20"/>
  <c r="K30" i="20" s="1"/>
  <c r="F30" i="20"/>
  <c r="H30" i="20" s="1"/>
  <c r="F31" i="20"/>
  <c r="H31" i="20" s="1"/>
  <c r="C31" i="20"/>
  <c r="E31" i="20" s="1"/>
  <c r="C30" i="20"/>
  <c r="E30" i="20" s="1"/>
  <c r="H13" i="9" l="1"/>
  <c r="R17" i="9" l="1"/>
  <c r="M26" i="20" l="1"/>
  <c r="N26" i="20" s="1"/>
  <c r="J26" i="20"/>
  <c r="K26" i="20" s="1"/>
  <c r="F26" i="20"/>
  <c r="H26" i="20" s="1"/>
  <c r="C26" i="20"/>
  <c r="E26" i="20" s="1"/>
  <c r="C32" i="20" l="1"/>
  <c r="E32" i="20" s="1"/>
  <c r="C29" i="20"/>
  <c r="E29" i="20" s="1"/>
  <c r="C28" i="20"/>
  <c r="E28" i="20" s="1"/>
  <c r="M27" i="20"/>
  <c r="N27" i="20" s="1"/>
  <c r="J27" i="20"/>
  <c r="K27" i="20" s="1"/>
  <c r="F27" i="20"/>
  <c r="H27" i="20" s="1"/>
  <c r="C27" i="20"/>
  <c r="E27" i="20" s="1"/>
  <c r="M25" i="20"/>
  <c r="N25" i="20" s="1"/>
  <c r="J25" i="20"/>
  <c r="K25" i="20" s="1"/>
  <c r="F25" i="20"/>
  <c r="H25" i="20" s="1"/>
  <c r="C25" i="20"/>
  <c r="E25" i="20" s="1"/>
  <c r="M24" i="20"/>
  <c r="N24" i="20" s="1"/>
  <c r="J24" i="20"/>
  <c r="K24" i="20" s="1"/>
  <c r="F24" i="20"/>
  <c r="H24" i="20" s="1"/>
  <c r="C24" i="20"/>
  <c r="E24" i="20" s="1"/>
  <c r="M23" i="20"/>
  <c r="N23" i="20" s="1"/>
  <c r="J23" i="20"/>
  <c r="K23" i="20" s="1"/>
  <c r="F23" i="20"/>
  <c r="H23" i="20" s="1"/>
  <c r="C23" i="20"/>
  <c r="E23" i="20" s="1"/>
  <c r="M22" i="20"/>
  <c r="N22" i="20" s="1"/>
  <c r="J22" i="20"/>
  <c r="K22" i="20" s="1"/>
  <c r="F22" i="20"/>
  <c r="H22" i="20" s="1"/>
</calcChain>
</file>

<file path=xl/comments1.xml><?xml version="1.0" encoding="utf-8"?>
<comments xmlns="http://schemas.openxmlformats.org/spreadsheetml/2006/main">
  <authors>
    <author>Cynthia Faride Beltrán Buitra</author>
  </authors>
  <commentList>
    <comment ref="U3" authorId="0" shapeId="0">
      <text>
        <r>
          <rPr>
            <sz val="9"/>
            <color indexed="81"/>
            <rFont val="Tahoma"/>
            <family val="2"/>
          </rPr>
          <t>Indique el porcentaje de avance de la actividad</t>
        </r>
      </text>
    </comment>
    <comment ref="V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W3" authorId="0" shapeId="0">
      <text>
        <r>
          <rPr>
            <sz val="9"/>
            <color indexed="81"/>
            <rFont val="Tahoma"/>
            <family val="2"/>
          </rPr>
          <t xml:space="preserve">Describa las acciones adelantadas en el periodo informado y el análisis del resultado del indicador. 
</t>
        </r>
      </text>
    </comment>
    <comment ref="X3" authorId="0" shapeId="0">
      <text>
        <r>
          <rPr>
            <sz val="9"/>
            <color indexed="81"/>
            <rFont val="Tahoma"/>
            <family val="2"/>
          </rPr>
          <t xml:space="preserve">Indique los nombres de los archivos que soportan la ejecución de las actividades y la ruta donde pueden ser encontrados
</t>
        </r>
      </text>
    </comment>
    <comment ref="Y3" authorId="0" shapeId="0">
      <text>
        <r>
          <rPr>
            <sz val="9"/>
            <color indexed="81"/>
            <rFont val="Tahoma"/>
            <family val="2"/>
          </rPr>
          <t>Indique el porcentaje de avance de la actividad</t>
        </r>
      </text>
    </comment>
    <comment ref="Z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A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B3" authorId="0" shapeId="0">
      <text>
        <r>
          <rPr>
            <sz val="9"/>
            <color indexed="81"/>
            <rFont val="Tahoma"/>
            <family val="2"/>
          </rPr>
          <t xml:space="preserve">Indique los nombres de los archivos que soportan la ejecución de las actividades y la ruta donde pueden ser encontrados
</t>
        </r>
      </text>
    </comment>
    <comment ref="AC3" authorId="0" shapeId="0">
      <text>
        <r>
          <rPr>
            <sz val="9"/>
            <color indexed="81"/>
            <rFont val="Tahoma"/>
            <family val="2"/>
          </rPr>
          <t>Indique el porcentaje de avance de la actividad</t>
        </r>
      </text>
    </comment>
    <comment ref="AD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E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F3" authorId="0" shapeId="0">
      <text>
        <r>
          <rPr>
            <sz val="9"/>
            <color indexed="81"/>
            <rFont val="Tahoma"/>
            <family val="2"/>
          </rPr>
          <t xml:space="preserve">Indique los nombres de los archivos que soportan la ejecución de las actividades y la ruta donde pueden ser encontrados
</t>
        </r>
      </text>
    </comment>
  </commentList>
</comments>
</file>

<file path=xl/comments2.xml><?xml version="1.0" encoding="utf-8"?>
<comments xmlns="http://schemas.openxmlformats.org/spreadsheetml/2006/main">
  <authors>
    <author>Cynthia Faride Beltrán Buitra</author>
  </authors>
  <commentList>
    <comment ref="U3" authorId="0" shapeId="0">
      <text>
        <r>
          <rPr>
            <sz val="9"/>
            <color indexed="81"/>
            <rFont val="Tahoma"/>
            <family val="2"/>
          </rPr>
          <t>Indique el porcentaje de avance de la actividad</t>
        </r>
      </text>
    </comment>
    <comment ref="V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W3" authorId="0" shapeId="0">
      <text>
        <r>
          <rPr>
            <sz val="9"/>
            <color indexed="81"/>
            <rFont val="Tahoma"/>
            <family val="2"/>
          </rPr>
          <t xml:space="preserve">Describa las acciones adelantadas en el periodo informado y el análisis del resultado del indicador. </t>
        </r>
      </text>
    </comment>
    <comment ref="X3" authorId="0" shapeId="0">
      <text>
        <r>
          <rPr>
            <sz val="9"/>
            <color indexed="81"/>
            <rFont val="Tahoma"/>
            <family val="2"/>
          </rPr>
          <t xml:space="preserve">Indique los nombres de los archivos que soportan la ejecución de las actividades y la ruta donde pueden ser encontrados
</t>
        </r>
      </text>
    </comment>
    <comment ref="Y3" authorId="0" shapeId="0">
      <text>
        <r>
          <rPr>
            <sz val="9"/>
            <color indexed="81"/>
            <rFont val="Tahoma"/>
            <family val="2"/>
          </rPr>
          <t>Indique el porcentaje de avance de la actividad</t>
        </r>
      </text>
    </comment>
    <comment ref="Z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A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B3" authorId="0" shapeId="0">
      <text>
        <r>
          <rPr>
            <sz val="9"/>
            <color indexed="81"/>
            <rFont val="Tahoma"/>
            <family val="2"/>
          </rPr>
          <t xml:space="preserve">Indique los nombres de los archivos que soportan la ejecución de las actividades y la ruta donde pueden ser encontrados
</t>
        </r>
      </text>
    </comment>
    <comment ref="AC3" authorId="0" shapeId="0">
      <text>
        <r>
          <rPr>
            <sz val="9"/>
            <color indexed="81"/>
            <rFont val="Tahoma"/>
            <family val="2"/>
          </rPr>
          <t>Indique el porcentaje de avance de la actividad</t>
        </r>
      </text>
    </comment>
    <comment ref="AD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E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F3" authorId="0" shapeId="0">
      <text>
        <r>
          <rPr>
            <sz val="9"/>
            <color indexed="81"/>
            <rFont val="Tahoma"/>
            <family val="2"/>
          </rPr>
          <t xml:space="preserve">Indique los nombres de los archivos que soportan la ejecución de las actividades y la ruta donde pueden ser encontrados
</t>
        </r>
      </text>
    </comment>
  </commentList>
</comments>
</file>

<file path=xl/comments3.xml><?xml version="1.0" encoding="utf-8"?>
<comments xmlns="http://schemas.openxmlformats.org/spreadsheetml/2006/main">
  <authors>
    <author>Cynthia Faride Beltrán Buitra</author>
  </authors>
  <commentList>
    <comment ref="U3" authorId="0" shapeId="0">
      <text>
        <r>
          <rPr>
            <sz val="9"/>
            <color indexed="81"/>
            <rFont val="Tahoma"/>
            <family val="2"/>
          </rPr>
          <t>Indique el porcentaje de avance de la actividad</t>
        </r>
      </text>
    </comment>
    <comment ref="V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W3" authorId="0" shapeId="0">
      <text>
        <r>
          <rPr>
            <sz val="9"/>
            <color indexed="81"/>
            <rFont val="Tahoma"/>
            <family val="2"/>
          </rPr>
          <t xml:space="preserve">Describa las acciones adelantadas en el periodo informado y el análisis del resultado del indicador. 
</t>
        </r>
      </text>
    </comment>
    <comment ref="X3" authorId="0" shapeId="0">
      <text>
        <r>
          <rPr>
            <sz val="9"/>
            <color indexed="81"/>
            <rFont val="Tahoma"/>
            <family val="2"/>
          </rPr>
          <t xml:space="preserve">Indique los nombres de los archivos que soportan la ejecución de las actividades y la ruta donde pueden ser encontrados
</t>
        </r>
      </text>
    </comment>
    <comment ref="Y3" authorId="0" shapeId="0">
      <text>
        <r>
          <rPr>
            <sz val="9"/>
            <color indexed="81"/>
            <rFont val="Tahoma"/>
            <family val="2"/>
          </rPr>
          <t>Indique el porcentaje de avance de la actividad</t>
        </r>
      </text>
    </comment>
    <comment ref="Z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A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B3" authorId="0" shapeId="0">
      <text>
        <r>
          <rPr>
            <sz val="9"/>
            <color indexed="81"/>
            <rFont val="Tahoma"/>
            <family val="2"/>
          </rPr>
          <t xml:space="preserve">Indique los nombres de los archivos que soportan la ejecución de las actividades y la ruta donde pueden ser encontrados
</t>
        </r>
      </text>
    </comment>
    <comment ref="AC3" authorId="0" shapeId="0">
      <text>
        <r>
          <rPr>
            <sz val="9"/>
            <color indexed="81"/>
            <rFont val="Tahoma"/>
            <family val="2"/>
          </rPr>
          <t>Indique el porcentaje de avance de la actividad</t>
        </r>
      </text>
    </comment>
    <comment ref="AD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E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F3" authorId="0" shapeId="0">
      <text>
        <r>
          <rPr>
            <sz val="9"/>
            <color indexed="81"/>
            <rFont val="Tahoma"/>
            <family val="2"/>
          </rPr>
          <t xml:space="preserve">Indique los nombres de los archivos que soportan la ejecución de las actividades y la ruta donde pueden ser encontrados
</t>
        </r>
      </text>
    </comment>
  </commentList>
</comments>
</file>

<file path=xl/comments4.xml><?xml version="1.0" encoding="utf-8"?>
<comments xmlns="http://schemas.openxmlformats.org/spreadsheetml/2006/main">
  <authors>
    <author>Cynthia Faride Beltrán Buitra</author>
  </authors>
  <commentList>
    <comment ref="U3" authorId="0" shapeId="0">
      <text>
        <r>
          <rPr>
            <sz val="9"/>
            <color indexed="81"/>
            <rFont val="Tahoma"/>
            <family val="2"/>
          </rPr>
          <t>Indique el porcentaje de avance de la actividad</t>
        </r>
      </text>
    </comment>
    <comment ref="V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W3" authorId="0" shapeId="0">
      <text>
        <r>
          <rPr>
            <sz val="9"/>
            <color indexed="81"/>
            <rFont val="Tahoma"/>
            <family val="2"/>
          </rPr>
          <t xml:space="preserve">Describa las acciones adelantadas en el periodo informado y el análisis del resultado del indicador. </t>
        </r>
      </text>
    </comment>
    <comment ref="X3" authorId="0" shapeId="0">
      <text>
        <r>
          <rPr>
            <sz val="9"/>
            <color indexed="81"/>
            <rFont val="Tahoma"/>
            <family val="2"/>
          </rPr>
          <t xml:space="preserve">Indique los nombres de los archivos que soportan la ejecución de las actividades y la ruta donde pueden ser encontrados
</t>
        </r>
      </text>
    </comment>
    <comment ref="Y3" authorId="0" shapeId="0">
      <text>
        <r>
          <rPr>
            <sz val="9"/>
            <color indexed="81"/>
            <rFont val="Tahoma"/>
            <family val="2"/>
          </rPr>
          <t>Indique el porcentaje de avance de la actividad</t>
        </r>
      </text>
    </comment>
    <comment ref="Z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A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B3" authorId="0" shapeId="0">
      <text>
        <r>
          <rPr>
            <sz val="9"/>
            <color indexed="81"/>
            <rFont val="Tahoma"/>
            <family val="2"/>
          </rPr>
          <t xml:space="preserve">Indique los nombres de los archivos que soportan la ejecución de las actividades y la ruta donde pueden ser encontrados
</t>
        </r>
      </text>
    </comment>
    <comment ref="AC3" authorId="0" shapeId="0">
      <text>
        <r>
          <rPr>
            <sz val="9"/>
            <color indexed="81"/>
            <rFont val="Tahoma"/>
            <family val="2"/>
          </rPr>
          <t>Indique el porcentaje de avance de la actividad</t>
        </r>
      </text>
    </comment>
    <comment ref="AD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E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F3" authorId="0" shapeId="0">
      <text>
        <r>
          <rPr>
            <sz val="9"/>
            <color indexed="81"/>
            <rFont val="Tahoma"/>
            <family val="2"/>
          </rPr>
          <t xml:space="preserve">Indique los nombres de los archivos que soportan la ejecución de las actividades y la ruta donde pueden ser encontrados
</t>
        </r>
      </text>
    </comment>
  </commentList>
</comments>
</file>

<file path=xl/comments5.xml><?xml version="1.0" encoding="utf-8"?>
<comments xmlns="http://schemas.openxmlformats.org/spreadsheetml/2006/main">
  <authors>
    <author>Cynthia Faride Beltrán Buitra</author>
  </authors>
  <commentList>
    <comment ref="U3" authorId="0" shapeId="0">
      <text>
        <r>
          <rPr>
            <sz val="9"/>
            <color indexed="81"/>
            <rFont val="Tahoma"/>
            <family val="2"/>
          </rPr>
          <t>Indique el porcentaje de avance de la actividad</t>
        </r>
      </text>
    </comment>
    <comment ref="V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W3" authorId="0" shapeId="0">
      <text>
        <r>
          <rPr>
            <sz val="9"/>
            <color indexed="81"/>
            <rFont val="Tahoma"/>
            <family val="2"/>
          </rPr>
          <t xml:space="preserve">Describa las acciones adelantadas en el periodo informado y el análisis del resultado del indicador. </t>
        </r>
      </text>
    </comment>
    <comment ref="X3" authorId="0" shapeId="0">
      <text>
        <r>
          <rPr>
            <sz val="9"/>
            <color indexed="81"/>
            <rFont val="Tahoma"/>
            <family val="2"/>
          </rPr>
          <t xml:space="preserve">Indique los nombres de los archivos que soportan la ejecución de las actividades y la ruta donde pueden ser encontrados
</t>
        </r>
      </text>
    </comment>
    <comment ref="Y3" authorId="0" shapeId="0">
      <text>
        <r>
          <rPr>
            <sz val="9"/>
            <color indexed="81"/>
            <rFont val="Tahoma"/>
            <family val="2"/>
          </rPr>
          <t>Indique el porcentaje de avance de la actividad</t>
        </r>
      </text>
    </comment>
    <comment ref="Z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A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B3" authorId="0" shapeId="0">
      <text>
        <r>
          <rPr>
            <sz val="9"/>
            <color indexed="81"/>
            <rFont val="Tahoma"/>
            <family val="2"/>
          </rPr>
          <t xml:space="preserve">Indique los nombres de los archivos que soportan la ejecución de las actividades y la ruta donde pueden ser encontrados
</t>
        </r>
      </text>
    </comment>
    <comment ref="AC3" authorId="0" shapeId="0">
      <text>
        <r>
          <rPr>
            <sz val="9"/>
            <color indexed="81"/>
            <rFont val="Tahoma"/>
            <family val="2"/>
          </rPr>
          <t>Indique el porcentaje de avance de la actividad</t>
        </r>
      </text>
    </comment>
    <comment ref="AD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E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F3" authorId="0" shapeId="0">
      <text>
        <r>
          <rPr>
            <sz val="9"/>
            <color indexed="81"/>
            <rFont val="Tahoma"/>
            <family val="2"/>
          </rPr>
          <t xml:space="preserve">Indique los nombres de los archivos que soportan la ejecución de las actividades y la ruta donde pueden ser encontrados
</t>
        </r>
      </text>
    </comment>
  </commentList>
</comments>
</file>

<file path=xl/comments6.xml><?xml version="1.0" encoding="utf-8"?>
<comments xmlns="http://schemas.openxmlformats.org/spreadsheetml/2006/main">
  <authors>
    <author>Cynthia Faride Beltrán Buitra</author>
  </authors>
  <commentList>
    <comment ref="T3" authorId="0" shapeId="0">
      <text>
        <r>
          <rPr>
            <sz val="9"/>
            <color indexed="81"/>
            <rFont val="Tahoma"/>
            <family val="2"/>
          </rPr>
          <t>Indique el porcentaje de avance de la actividad</t>
        </r>
      </text>
    </comment>
    <comment ref="U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V3" authorId="0" shapeId="0">
      <text>
        <r>
          <rPr>
            <sz val="9"/>
            <color indexed="81"/>
            <rFont val="Tahoma"/>
            <family val="2"/>
          </rPr>
          <t xml:space="preserve">Describa las acciones adelantadas en el periodo informado y el análisis del resultado del indicador. </t>
        </r>
      </text>
    </comment>
    <comment ref="W3" authorId="0" shapeId="0">
      <text>
        <r>
          <rPr>
            <sz val="9"/>
            <color indexed="81"/>
            <rFont val="Tahoma"/>
            <family val="2"/>
          </rPr>
          <t xml:space="preserve">Indique los nombres de los archivos que soportan la ejecución de las actividades y la ruta donde pueden ser encontrados
</t>
        </r>
      </text>
    </comment>
    <comment ref="X3" authorId="0" shapeId="0">
      <text>
        <r>
          <rPr>
            <sz val="9"/>
            <color indexed="81"/>
            <rFont val="Tahoma"/>
            <family val="2"/>
          </rPr>
          <t>Indique el porcentaje de avance de la actividad</t>
        </r>
      </text>
    </comment>
    <comment ref="Y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Z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A3" authorId="0" shapeId="0">
      <text>
        <r>
          <rPr>
            <sz val="9"/>
            <color indexed="81"/>
            <rFont val="Tahoma"/>
            <family val="2"/>
          </rPr>
          <t xml:space="preserve">Indique los nombres de los archivos que soportan la ejecución de las actividades y la ruta donde pueden ser encontrados
</t>
        </r>
      </text>
    </comment>
    <comment ref="AB3" authorId="0" shapeId="0">
      <text>
        <r>
          <rPr>
            <sz val="9"/>
            <color indexed="81"/>
            <rFont val="Tahoma"/>
            <family val="2"/>
          </rPr>
          <t>Indique el porcentaje de avance de la actividad</t>
        </r>
      </text>
    </comment>
    <comment ref="AC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D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E3" authorId="0" shapeId="0">
      <text>
        <r>
          <rPr>
            <sz val="9"/>
            <color indexed="81"/>
            <rFont val="Tahoma"/>
            <family val="2"/>
          </rPr>
          <t xml:space="preserve">Indique los nombres de los archivos que soportan la ejecución de las actividades y la ruta donde pueden ser encontrados
</t>
        </r>
      </text>
    </comment>
  </commentList>
</comments>
</file>

<file path=xl/comments7.xml><?xml version="1.0" encoding="utf-8"?>
<comments xmlns="http://schemas.openxmlformats.org/spreadsheetml/2006/main">
  <authors>
    <author>Cynthia Faride Beltrán Buitra</author>
  </authors>
  <commentList>
    <comment ref="U3" authorId="0" shapeId="0">
      <text>
        <r>
          <rPr>
            <sz val="9"/>
            <color indexed="81"/>
            <rFont val="Tahoma"/>
            <family val="2"/>
          </rPr>
          <t>Indique el porcentaje de avance de la actividad</t>
        </r>
      </text>
    </comment>
    <comment ref="V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W3" authorId="0" shapeId="0">
      <text>
        <r>
          <rPr>
            <sz val="9"/>
            <color indexed="81"/>
            <rFont val="Tahoma"/>
            <family val="2"/>
          </rPr>
          <t xml:space="preserve">Describa las acciones adelantadas en el periodo informado y el análisis del resultado del indicador. </t>
        </r>
      </text>
    </comment>
    <comment ref="X3" authorId="0" shapeId="0">
      <text>
        <r>
          <rPr>
            <sz val="9"/>
            <color indexed="81"/>
            <rFont val="Tahoma"/>
            <family val="2"/>
          </rPr>
          <t xml:space="preserve">Indique los nombres de los archivos que soportan la ejecución de las actividades y la ruta donde pueden ser encontrados
</t>
        </r>
      </text>
    </comment>
    <comment ref="Y3" authorId="0" shapeId="0">
      <text>
        <r>
          <rPr>
            <sz val="9"/>
            <color indexed="81"/>
            <rFont val="Tahoma"/>
            <family val="2"/>
          </rPr>
          <t>Indique el porcentaje de avance de la actividad</t>
        </r>
      </text>
    </comment>
    <comment ref="Z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A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B3" authorId="0" shapeId="0">
      <text>
        <r>
          <rPr>
            <sz val="9"/>
            <color indexed="81"/>
            <rFont val="Tahoma"/>
            <family val="2"/>
          </rPr>
          <t xml:space="preserve">Indique los nombres de los archivos que soportan la ejecución de las actividades y la ruta donde pueden ser encontrados
</t>
        </r>
      </text>
    </comment>
    <comment ref="AC3" authorId="0" shapeId="0">
      <text>
        <r>
          <rPr>
            <sz val="9"/>
            <color indexed="81"/>
            <rFont val="Tahoma"/>
            <family val="2"/>
          </rPr>
          <t>Indique el porcentaje de avance de la actividad</t>
        </r>
      </text>
    </comment>
    <comment ref="AD3" authorId="0" shapeId="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AE3" authorId="0" shapeId="0">
      <text>
        <r>
          <rPr>
            <sz val="9"/>
            <color indexed="81"/>
            <rFont val="Tahoma"/>
            <family val="2"/>
          </rPr>
          <t xml:space="preserve">Dexcriba las acciones Adelantadas en el periodo informado y el análisis del resultado del indicador. </t>
        </r>
        <r>
          <rPr>
            <sz val="9"/>
            <color indexed="81"/>
            <rFont val="Tahoma"/>
            <family val="2"/>
          </rPr>
          <t xml:space="preserve">
</t>
        </r>
      </text>
    </comment>
    <comment ref="AF3" authorId="0" shapeId="0">
      <text>
        <r>
          <rPr>
            <sz val="9"/>
            <color indexed="81"/>
            <rFont val="Tahoma"/>
            <family val="2"/>
          </rPr>
          <t xml:space="preserve">Indique los nombres de los archivos que soportan la ejecución de las actividades y la ruta donde pueden ser encontrados
</t>
        </r>
      </text>
    </comment>
  </commentList>
</comments>
</file>

<file path=xl/sharedStrings.xml><?xml version="1.0" encoding="utf-8"?>
<sst xmlns="http://schemas.openxmlformats.org/spreadsheetml/2006/main" count="2650" uniqueCount="1490">
  <si>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</si>
  <si>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</si>
  <si>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</si>
  <si>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</si>
  <si>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</si>
  <si>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</si>
  <si>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</si>
  <si>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</si>
  <si>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</si>
  <si>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</si>
  <si>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</si>
  <si>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</si>
  <si>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</si>
  <si>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</si>
  <si>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</si>
  <si>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</si>
  <si>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</si>
  <si>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</si>
  <si>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</si>
  <si>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</si>
  <si>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</si>
  <si>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</si>
  <si>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</si>
  <si>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</si>
  <si>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</si>
  <si>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</si>
  <si>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</si>
  <si>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</si>
  <si>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</si>
  <si>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</si>
  <si>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</si>
  <si>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</si>
  <si>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</si>
  <si>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</si>
  <si>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</si>
  <si>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</si>
  <si>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</si>
  <si>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</si>
  <si>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</si>
  <si>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</si>
  <si>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</si>
  <si>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</si>
  <si>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</si>
  <si>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</si>
  <si>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</si>
  <si>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</si>
  <si>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</si>
  <si>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</si>
  <si>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</si>
  <si>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</si>
  <si>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</si>
  <si>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</si>
  <si>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</si>
  <si>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</si>
  <si>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</si>
  <si>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</si>
  <si>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</si>
  <si>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</si>
  <si>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</si>
  <si>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</si>
  <si>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</si>
  <si>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</si>
  <si>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</si>
  <si>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</si>
  <si>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</si>
  <si>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</si>
  <si>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</si>
  <si>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</si>
  <si>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</si>
  <si>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</si>
  <si>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</si>
  <si>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</si>
  <si>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</si>
  <si>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</si>
  <si>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</si>
  <si>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</si>
  <si>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</si>
  <si>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</si>
  <si>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</si>
  <si>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</si>
  <si>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</si>
  <si>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</si>
  <si>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</si>
  <si>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</si>
  <si>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</si>
  <si>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</si>
  <si>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</si>
  <si>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</si>
  <si>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</si>
  <si>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</si>
  <si>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Realizar oportunamente el registro y reporte de novedades y Hojas de vida vinculadas en el SIGEP</t>
  </si>
  <si>
    <t>Gestión Documental</t>
  </si>
  <si>
    <t xml:space="preserve"> Gestión del Conocimiento y la Innovación</t>
  </si>
  <si>
    <t>Seguimiento y evaluación del desempeño institucional</t>
  </si>
  <si>
    <t>Dimensión o Eje Transversal</t>
  </si>
  <si>
    <t>Porcentaje</t>
  </si>
  <si>
    <t>31/12/2018</t>
  </si>
  <si>
    <t>Desarrollar una iniciativa orientada a fomentar la cultura de la educación en derechos humanos, paz y derecho humanitario</t>
  </si>
  <si>
    <t>Dar cumplimiento en los tiempos establecidos para compromisos, obligaciones y pagos.</t>
  </si>
  <si>
    <t>Iniciativa desarrollada</t>
  </si>
  <si>
    <t>Numérico</t>
  </si>
  <si>
    <t>Diagnóstico realizado</t>
  </si>
  <si>
    <t>Porcentaje de cumplimiento en el pago a compromisos</t>
  </si>
  <si>
    <t>Porcentaje de proyectos ajustados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</si>
  <si>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</si>
  <si>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</si>
  <si>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</si>
  <si>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</si>
  <si>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</si>
  <si>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Realizar la contratación a través  del SECOP II</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</si>
  <si>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</si>
  <si>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</si>
  <si>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</si>
  <si>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</si>
  <si>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</si>
  <si>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</si>
  <si>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</si>
  <si>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</si>
  <si>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</si>
  <si>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</si>
  <si>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</si>
  <si>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</si>
  <si>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</si>
  <si>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</si>
  <si>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</si>
  <si>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Registrar, clasificar y realizar seguimiento la atención de PQRSD realizadas por los grupos de valor y las partes interesadas</t>
  </si>
  <si>
    <t>Realizar programación de la actualización de la información institucional derivada del cumplimiento de la Ley 1712 de 2014. Decreto 103 de 2015 y Resolución 3564 de 2015.</t>
  </si>
  <si>
    <t>No. de iniciativas de innovación abierta implementadas</t>
  </si>
  <si>
    <t>Número</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</si>
  <si>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</si>
  <si>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</si>
  <si>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</si>
  <si>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</si>
  <si>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01/0172018</t>
  </si>
  <si>
    <t xml:space="preserve">30/032018 </t>
  </si>
  <si>
    <t>100 % Población Caracterizada</t>
  </si>
  <si>
    <t xml:space="preserve">
Realizado el diagnostico de la población al 100% </t>
  </si>
  <si>
    <t xml:space="preserve">Implementación SG- SST </t>
  </si>
  <si>
    <r>
      <rPr>
        <b/>
        <sz val="11"/>
        <rFont val="Calibri"/>
        <family val="2"/>
        <scheme val="minor"/>
      </rPr>
      <t xml:space="preserve">SGSST: </t>
    </r>
    <r>
      <rPr>
        <sz val="11"/>
        <rFont val="Calibri"/>
        <family val="2"/>
        <scheme val="minor"/>
      </rPr>
      <t xml:space="preserve">Desarrollar el plan de trabajo para el Sistema  de seguridad y salud en el trabajo y hacer medición y seguimiento a su impacto </t>
    </r>
  </si>
  <si>
    <t xml:space="preserve">Fortalecimiento y desarrollo del Talento Humano </t>
  </si>
  <si>
    <t xml:space="preserve">Cumplimiento plan anual de  vacantes </t>
  </si>
  <si>
    <t xml:space="preserve">Cumplimiento plan Ambiente y Cultura  Laboral </t>
  </si>
  <si>
    <t xml:space="preserve">Cumplimiento  Plan Implementación Código de Integridad </t>
  </si>
  <si>
    <r>
      <rPr>
        <b/>
        <sz val="11"/>
        <rFont val="Calibri"/>
        <family val="2"/>
        <scheme val="minor"/>
      </rPr>
      <t xml:space="preserve">INTEGRIDAD : </t>
    </r>
    <r>
      <rPr>
        <sz val="11"/>
        <rFont val="Calibri"/>
        <family val="2"/>
        <scheme val="minor"/>
      </rPr>
      <t>Adoptar, Divulgar, ajustar a la entidad y realizar el plan de trabajo para implementación del Código de Integridad</t>
    </r>
  </si>
  <si>
    <r>
      <rPr>
        <b/>
        <sz val="11"/>
        <rFont val="Calibri"/>
        <family val="2"/>
        <scheme val="minor"/>
      </rPr>
      <t xml:space="preserve">AMBIENTE Y CULTURA ORGANIZACIONAL :
</t>
    </r>
    <r>
      <rPr>
        <sz val="11"/>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 rendición de cuentas.</t>
    </r>
  </si>
  <si>
    <t>Responsable</t>
  </si>
  <si>
    <t>OAP</t>
  </si>
  <si>
    <t>Derecho que le aplica</t>
  </si>
  <si>
    <t>STH</t>
  </si>
  <si>
    <t>UAC</t>
  </si>
  <si>
    <t>SFyC</t>
  </si>
  <si>
    <t>DTI</t>
  </si>
  <si>
    <t>OAJ</t>
  </si>
  <si>
    <t>SAySG</t>
  </si>
  <si>
    <t xml:space="preserve">Cumplimiento Plan Estratégico TH </t>
  </si>
  <si>
    <t xml:space="preserve">Población Caracterizada </t>
  </si>
  <si>
    <r>
      <rPr>
        <b/>
        <sz val="11"/>
        <rFont val="Calibri"/>
        <family val="2"/>
        <scheme val="minor"/>
      </rPr>
      <t xml:space="preserve">FORTALECIMIENTO Y DESARROLLO DEL TALENTO HUMANO : </t>
    </r>
    <r>
      <rPr>
        <sz val="11"/>
        <rFont val="Calibri"/>
        <family val="2"/>
        <scheme val="minor"/>
      </rPr>
      <t xml:space="preserve">Formular y hacer seguimiento a los planes asociados al  crecimiento y desarrollo profesional de la entidad  (Clima Organizacional, Plan de bienestar, Incentivos, Inducción y Reinducción, 
Capacitación, Desarrollo de Competencias, Cultura Organizacional), Uso y apropiación de TIC,  Gestión del Conocimiento. </t>
    </r>
  </si>
  <si>
    <t>01/017/2018</t>
  </si>
  <si>
    <r>
      <rPr>
        <b/>
        <sz val="11"/>
        <rFont val="Calibri"/>
        <family val="2"/>
        <scheme val="minor"/>
      </rPr>
      <t xml:space="preserve">DIRECCIONAMIENTO  PLANEACIÓN Y CARACTERIZACIÓN : </t>
    </r>
    <r>
      <rPr>
        <sz val="11"/>
        <rFont val="Calibri"/>
        <family val="2"/>
        <scheme val="minor"/>
      </rPr>
      <t xml:space="preserve"> 
1. Realizar la caracterización de  los servidores de Entidad Adscrita y/o Vinculada y su núcleo familiar. 
2. Realizar el diagnóstico del talento humano de la misma en los componentes del PETH, referencia Matriz GETH. ( Medición y seguimiento) </t>
    </r>
  </si>
  <si>
    <r>
      <rPr>
        <b/>
        <sz val="11"/>
        <rFont val="Calibri"/>
        <family val="2"/>
        <scheme val="minor"/>
      </rPr>
      <t xml:space="preserve">DISEÑAR, ACTUALIZAR Y HACER SEGUIMIENTO AL PLAN ESTRATÉGICO DE TALENTO HUMANO: </t>
    </r>
    <r>
      <rPr>
        <sz val="11"/>
        <rFont val="Calibri"/>
        <family val="2"/>
        <scheme val="minor"/>
      </rPr>
      <t xml:space="preserve">Actualizar y hacer seguimiento del plan estratégico de Talento Humano, con todos los componentes definidos y rutas determinadas por el MIPG. </t>
    </r>
  </si>
  <si>
    <r>
      <rPr>
        <b/>
        <sz val="11"/>
        <rFont val="Calibri"/>
        <family val="2"/>
        <scheme val="minor"/>
      </rPr>
      <t xml:space="preserve">VINCULACIÓN, DESARROLLO Y CRECIMIENTO Y DESVINCULACIÓN   LABORAL: </t>
    </r>
    <r>
      <rPr>
        <sz val="11"/>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 Mejoramiento Individual,
análisis de razones de retiro, evaluación de competencias, valores, gestión de conflictos, gerencia pública, desarrollo de competencias gerenciales, acuerdos de gestión, trabajo en equipo.</t>
    </r>
  </si>
  <si>
    <t>Porcentaje de información publicada de acuerdo con el cronograma establecido</t>
  </si>
  <si>
    <t>Desarrollar una iniciativa de  innovación abierta en la entidad.</t>
  </si>
  <si>
    <t>Porcentaje de HV cargadas en el SIGEP</t>
  </si>
  <si>
    <t>OACyM</t>
  </si>
  <si>
    <t>% de cumplimiento en la definición o ajuste de la metodología/procedimiento(s) y la estrategia para la gestión del conocimiento</t>
  </si>
  <si>
    <t>STH - DTI</t>
  </si>
  <si>
    <t>porcentaje</t>
  </si>
  <si>
    <t>Elaborar la estrategia y herramientas de seguimiento a planes programas y proyectos de la entidad a nivel estratégico táctico y operativo</t>
  </si>
  <si>
    <t>Autodiagnóstico FURAG II</t>
  </si>
  <si>
    <t xml:space="preserve">Realizar el autodiagnóstico del MIPG V2 para la entidad y elaborar el plan de trabajo para fortalecer las políticas de gestión y desempeño institucional y el cumplimiento de requisitos </t>
  </si>
  <si>
    <t>Realizar el seguimiento y la evaluación al cumplimiento de las metas o el uso de recursos de acuerdo a la planeación institucional, así como garantizar la toma de decisiones</t>
  </si>
  <si>
    <t xml:space="preserve">Evaluar el grado de cumplimiento del índice de coherencia y buen gobierno por cada una de las entidades </t>
  </si>
  <si>
    <t>OAP - OCI</t>
  </si>
  <si>
    <t>OCI</t>
  </si>
  <si>
    <t>Objetivo Estratégico</t>
  </si>
  <si>
    <t>2.  Fortalecer análisis y divulgación de 
información relevante para grupos de interés</t>
  </si>
  <si>
    <t>1.  Incursionar en nuevos mercados y ofrecer servicios de mayor valor agregado al cliente</t>
  </si>
  <si>
    <t>3.  Fortalecer la toma de decisiones a partir de información financiera</t>
  </si>
  <si>
    <t>4.  Optimizar los procesos misionales</t>
  </si>
  <si>
    <t>5.  Mejorar los procesos administrativos</t>
  </si>
  <si>
    <t>6.  Fortalecer y posicionar el proceso de investigación</t>
  </si>
  <si>
    <t>7.  Generar una cultura de calidad e innovación en todos los niveles de la organización</t>
  </si>
  <si>
    <t>8.  Fortalecer el uso de la tecnología</t>
  </si>
  <si>
    <t>9.  Atraer, retener y desarrollar el talento humano con los perfiles y competencias requeridos</t>
  </si>
  <si>
    <t>Proyecto Estratégico</t>
  </si>
  <si>
    <t>Diseño e Implementación del Sistema de Gestión de Seguridad y Salud en el Trabajo (SGSST)</t>
  </si>
  <si>
    <t>Proyectos Estratégicos</t>
  </si>
  <si>
    <t>kpi.% de avance de la Implementación SGSST</t>
  </si>
  <si>
    <t>1. Realizar el diagnóstico de la situacion actual del Sistema de Gestión de Seguridad y Salud en el Trabajo (SGSST) en la entidad.</t>
  </si>
  <si>
    <t>2. Diseñar y ajustar herramientas, como procedimientos que contribuyan a la implementación y mejoramiento del SGSST.</t>
  </si>
  <si>
    <t>3. Realizar la implementación del SGSST de acuerdo con la Resolución 1111 del 27 de marzo del 2017, evaluación,  medidas preventivas</t>
  </si>
  <si>
    <t xml:space="preserve">4. Comunicar a todos los funcionarios la política y objetivos del sistema de seguridad y salud en el trabajo y las medidas preventivas planteadas. </t>
  </si>
  <si>
    <t>istema de Gestión de Seguridad y Salud en el Trabajo (SGSST)</t>
  </si>
  <si>
    <t>PRISMA</t>
  </si>
  <si>
    <t>Integración de los sistemas de gestión de la institución (aplicativos)</t>
  </si>
  <si>
    <t>Definir la Situación Actual (AS IS) de la entidad</t>
  </si>
  <si>
    <t>Definir la Situación Objetivo (TO BE) de la entidad</t>
  </si>
  <si>
    <t>Identificar las necesidades y requerimientos de los procesos de la cadena de valor para automatizar las actividades importantes en el sistema.</t>
  </si>
  <si>
    <t>Estructurar la solución técnica y establecer la complejidad técnica de la solución y necesidades funcionales. (Realizar los análisis técnicos correspondientes para definir lineamientos y tiempos de construcción)</t>
  </si>
  <si>
    <t>Ejecutar el proceso de desarrollo para las necesidades funcionales definidas. (describir actividades antes, durante y después)</t>
  </si>
  <si>
    <t xml:space="preserve">Poner en producción las funcionalidades construidas para el sistema. </t>
  </si>
  <si>
    <t xml:space="preserve">Socializar con actores involucrados las funcionalidades puestas en producción. </t>
  </si>
  <si>
    <t>Implementar el Sistema de Gestión de seguridad de la Información en el Icfes</t>
  </si>
  <si>
    <t>Sistema de Gestión de seguridad de la Información en el Icfes</t>
  </si>
  <si>
    <r>
      <t xml:space="preserve">Porcentaje de presentación de informes en comités o comité </t>
    </r>
    <r>
      <rPr>
        <sz val="12"/>
        <color rgb="FFFF0000"/>
        <rFont val="Calibri"/>
        <family val="2"/>
        <scheme val="minor"/>
      </rPr>
      <t>de gestión y desempeño institucional</t>
    </r>
  </si>
  <si>
    <r>
      <t xml:space="preserve">% de cumplimiento definición y ejecución plan de </t>
    </r>
    <r>
      <rPr>
        <sz val="12"/>
        <color rgb="FFFF0000"/>
        <rFont val="Calibri"/>
        <family val="2"/>
        <scheme val="minor"/>
      </rPr>
      <t>aprendizaje organizacional</t>
    </r>
  </si>
  <si>
    <t>Plan de trabajo elaborado y publicado (Plan de Accesibilidad)</t>
  </si>
  <si>
    <t>Porcentaje de ejecución del plan (Plan de Accesibilidad)</t>
  </si>
  <si>
    <t>Plan de bienestar</t>
  </si>
  <si>
    <t>Plan de Incentivos</t>
  </si>
  <si>
    <t>Plan de Capacitación</t>
  </si>
  <si>
    <t>Planes</t>
  </si>
  <si>
    <t>Plan de Previsión de Recursos Humanos</t>
  </si>
  <si>
    <t>Plan Anual de Vacantes</t>
  </si>
  <si>
    <t>Dnp</t>
  </si>
  <si>
    <t>Indice  de  Desempeño</t>
  </si>
  <si>
    <t>Cobertura  de  la Capacitación</t>
  </si>
  <si>
    <t>Conocimiento y estrategia</t>
  </si>
  <si>
    <t>Garantizar equipos de trabajo competentes, motivados y comprometidos</t>
  </si>
  <si>
    <t>Promedio de calificación de la CNSC</t>
  </si>
  <si>
    <t>#  personas  capacitadas  / #  total  de  personal</t>
  </si>
  <si>
    <t xml:space="preserve">%  de  los  empleados  que conocen  el  Plan  de Gestión  de  la  Empresa </t>
  </si>
  <si>
    <t xml:space="preserve">Endeudamiento </t>
  </si>
  <si>
    <t xml:space="preserve">Pasivo  /  (Pasivo  + Patrimonio) </t>
  </si>
  <si>
    <t>Carga impositiva</t>
  </si>
  <si>
    <t>Total impuestos / Pasivos</t>
  </si>
  <si>
    <t>Concentración Proveedores</t>
  </si>
  <si>
    <t>Cuentas por pagar a proveedores / Activos corrientes</t>
  </si>
  <si>
    <t>Concentración del endeudamiento</t>
  </si>
  <si>
    <t>Pasivo corriente / pasivo</t>
  </si>
  <si>
    <t>Apalancamiento</t>
  </si>
  <si>
    <t>Pasivo / Patrimonio</t>
  </si>
  <si>
    <t>Productividad  del Activo  Fijo</t>
  </si>
  <si>
    <t xml:space="preserve">Ventas  /  (Activos  Fijos  - Depreciación) </t>
  </si>
  <si>
    <t xml:space="preserve">Ejecución  de  ingresos </t>
  </si>
  <si>
    <t xml:space="preserve">Recaudo  en  el  periodo  / Total  de  ingresos </t>
  </si>
  <si>
    <t>Ejecución  de  gastos Operación Comercial</t>
  </si>
  <si>
    <t xml:space="preserve">Pagos  /  Compromisos </t>
  </si>
  <si>
    <t xml:space="preserve">Ejecución  de  gastos Funcionamiento </t>
  </si>
  <si>
    <t>Ejecución Gastos de  inversión</t>
  </si>
  <si>
    <t>Pagos  /  Compromisos</t>
  </si>
  <si>
    <t>DNP</t>
  </si>
  <si>
    <t xml:space="preserve">Mitigación  Riesgo 
Ambiental </t>
  </si>
  <si>
    <t>Presupuesto asignado a la actividad</t>
  </si>
  <si>
    <t>Nivel de ejecución del  Plan de Atención al Ciudadano</t>
  </si>
  <si>
    <t>Nivel de ejecución del  Plan Estratégico de Tecnologías de la Información</t>
  </si>
  <si>
    <t>Nivel de ejecución del Plan Anual de Adquisiciones (PAA)</t>
  </si>
  <si>
    <t>Nivel de ejecución del Plan de Acción Institucional</t>
  </si>
  <si>
    <t>N.A</t>
  </si>
  <si>
    <t>Subactividades</t>
  </si>
  <si>
    <t>Derecho al trabajo en condiciones dignas.</t>
  </si>
  <si>
    <t>Realizar seguimiento al Plan Estratégico de Talento Humano, vigencia 2018.</t>
  </si>
  <si>
    <t xml:space="preserve">Cumplimiento Plan Capacitación TH </t>
  </si>
  <si>
    <t>Diseñar el PIC para la vigencia 2018</t>
  </si>
  <si>
    <t>Realizar seguimiento al PIC para la vigencia 2018</t>
  </si>
  <si>
    <t>Cobertura  de  la Capacitación (DNP)</t>
  </si>
  <si>
    <t xml:space="preserve">Cumplimiento Plan Bienestar e Incentivos TH </t>
  </si>
  <si>
    <t>Diseñar el plan de bienestar e incentivos para la vigencia 2018.</t>
  </si>
  <si>
    <t>Realizar seguimiento al Plan de Bienestar e Incentivos para la vigencia 2018.</t>
  </si>
  <si>
    <t>Realizar la caracterización de  los servidores de Entidad Adscrita y/o Vinculada y su núcleo familiar.</t>
  </si>
  <si>
    <t xml:space="preserve">Realizar el diagnóstico del talento humano de la misma en los componentes del PETH, referencia Matriz GETH. ( Medición y seguimiento) </t>
  </si>
  <si>
    <t>Implementación SG- SST (PE)</t>
  </si>
  <si>
    <t>Realizar la implementación y divulgación del código de integridad.</t>
  </si>
  <si>
    <t>Promedio de calificación de evaluaciones de desempeño de funcionarios de CA.</t>
  </si>
  <si>
    <t>Esquema tarifario para las pruebas SABER del estado</t>
  </si>
  <si>
    <t>Porcentaje de construcción del  Esquema tarifario</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</si>
  <si>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</si>
  <si>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</si>
  <si>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</si>
  <si>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</si>
  <si>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Monitorear el comportamiento de la actualización metodológica de los exámenes requeridos.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</si>
  <si>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</si>
  <si>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</si>
  <si>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</si>
  <si>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</si>
  <si>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</si>
  <si>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</si>
  <si>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</si>
  <si>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Actualizar y documentar el modelo de negocio</t>
  </si>
  <si>
    <t>Agenda de investigación interna</t>
  </si>
  <si>
    <t>Cumplimiento plan de trabajo de Vinculación, Desarrollo Y Crecimiento Y Desvinculación   Laboral</t>
  </si>
  <si>
    <t>Realizar el seguimiento a las actividades de implementación del SSST para la vigencia 2018.</t>
  </si>
  <si>
    <t>Realizar seguimiento a la evaluación de competencias vigencia 2018, implementación de  PDI, Intervención de evaluación de clima, análisis de razones de retiro, implementación piloto teletrabajo y comportamiento de horario flexible.</t>
  </si>
  <si>
    <t>Índice  de  Desempeño</t>
  </si>
  <si>
    <t>Realizar inducción y re inducción a funcionarios de planta.</t>
  </si>
  <si>
    <t xml:space="preserve">Presupuesto programado </t>
  </si>
  <si>
    <t>pocentaje</t>
  </si>
  <si>
    <t>Realizar el seguimiento y la evaluación al cumplimiento de las metas o el uso de recursos de acuerdo a la planeación institucional, asi como garantizar la toma de decisiones</t>
  </si>
  <si>
    <t>Porcentaje de presentación de informes en comités o comité de gestión y desempeño institucional</t>
  </si>
  <si>
    <t>Autodiagnostico FURAG II</t>
  </si>
  <si>
    <t>Elaborar la estrategia y herramientas de seguimiento a planes programas y proyectos de la entidad a nivel estrategico táctico y operativo</t>
  </si>
  <si>
    <t>Derecho que
 le aplica</t>
  </si>
  <si>
    <t xml:space="preserve">Estrategia de comunicaciones elaborada </t>
  </si>
  <si>
    <t>Realizar, ejecutar y hacer seguimiento a la estrategia de comunicación externa e interna para  visibilizar la gestión institucional  (ciudadanos, proveedores, contratistas, organismos de control, fuentes de financiación, colaboradores y otros organismos).</t>
  </si>
  <si>
    <t>Porcentaje de ejecución de la estrategia</t>
  </si>
  <si>
    <t xml:space="preserve">Plan de Mejoramiento </t>
  </si>
  <si>
    <t>Programa Anual de Auditoría</t>
  </si>
  <si>
    <t>Plan de Trabajo para la Gestión del Riesgo</t>
  </si>
  <si>
    <t>Estrategia "Mejorando Ando"</t>
  </si>
  <si>
    <t>Actualizar el Plan Estratégico de Tecnologías de la Información (PETI)</t>
  </si>
  <si>
    <t>Hacer seguimiento a la implementación de la estrategia de TI</t>
  </si>
  <si>
    <t>Hacer seguimiento al portafolio de proyectos de TI</t>
  </si>
  <si>
    <t>Derecho a la Información</t>
  </si>
  <si>
    <t>Derecho a la
información.</t>
  </si>
  <si>
    <t>Gobierno de Datos</t>
  </si>
  <si>
    <t>No Aplica</t>
  </si>
  <si>
    <t>Confidencialidad de la información</t>
  </si>
  <si>
    <t>Evaluación manual y automática del portal Icfes Interactivo</t>
  </si>
  <si>
    <t>Evaluación manual y automática del portal Integrado de ICFES</t>
  </si>
  <si>
    <t>Corrección de errores encontrados en el portal Icfes Interactivo</t>
  </si>
  <si>
    <t>Corrección de errores encontrados en el portal Integrado de ICFES</t>
  </si>
  <si>
    <t>Derecho a la información</t>
  </si>
  <si>
    <t>Nivel de madurez de la gestión de TI</t>
  </si>
  <si>
    <t>Dominios del marco de referencia</t>
  </si>
  <si>
    <t>Funcionalidades puestas en producción</t>
  </si>
  <si>
    <t xml:space="preserve">Construir e implantar un sistema de información que permita gestionar todos los procesos asociados a la cadena de valor de las pruebas que ofrezca el ICFES. </t>
  </si>
  <si>
    <t>Seguimiento del número de procesos publicados en SECOP II</t>
  </si>
  <si>
    <t>Realizar campañas de sensibilización, alineadas al subproceso G6 Gestión Ambiental.
Desarrollar jornadas educativas y de formación en los colaboradores de la entidad, en temas relacionados con la gestión ambiental.
Desarrollar las actividades del plan de trabajo para la Semana Ambiental.</t>
  </si>
  <si>
    <t>Desarrollar un plan de trabajo, encaminado  en minimizar el riesgo ambiental,  producto de las actividades que desarrolla la entidad como parte del cumplimiento de su misión.</t>
  </si>
  <si>
    <t>Crear y dar de alta, las hojas de vida de los contratistas prestación de servicios en SIGEP.
Realizar la baja de hojas de vida de contratos que se terminen de forma anticipada.</t>
  </si>
  <si>
    <t>Seguimiento a las actividades del plan de trabajo del 2018</t>
  </si>
  <si>
    <t>Generar piezas para cada una de las diferentes pruebas, programas y estrategias que realiza el Icfes, con el objetivo de  convertir al Instituto en el principal proveedor de información sobre la calidad de la Educación, útil para la toma de decisiones, la investigación, la construcción de políticas públicas y para mantener informado a nuestro público de interés.</t>
  </si>
  <si>
    <t>Número de publicaciones y piezas de comunicación difundidas, a través de los diferentes canales externos e internos del Icfes (Redes sociales, portal web y boletines de prensa, mailing, entre otros).</t>
  </si>
  <si>
    <t>Gestión Misional</t>
  </si>
  <si>
    <t>DE</t>
  </si>
  <si>
    <t>Definir la metodología para la actualización de ciudadanos, usuarios o grupos de interés.</t>
  </si>
  <si>
    <t>Elaborar el anteproyecto de presupuesto.</t>
  </si>
  <si>
    <t>SFC-OAP</t>
  </si>
  <si>
    <t>Derecho a la Información
Derecho a la participación ciudadana</t>
  </si>
  <si>
    <t xml:space="preserve">Medir el nivel de satisfacción de los ciudadanos que acceden a los Canales de Atención mediante los cuales se da soporte a la prestación de trámites y servicios. </t>
  </si>
  <si>
    <t>Diseñar e implementar el 100% de la estrategia de rendición de cuentas</t>
  </si>
  <si>
    <t xml:space="preserve">Construir el plan asociado y ejecutar la estrategia </t>
  </si>
  <si>
    <t>Realizar la ejecución presupuestal de la entidad con los ajustes a los que haya lugar.</t>
  </si>
  <si>
    <t xml:space="preserve">Art, 23 y 74 de la Constitución Política </t>
  </si>
  <si>
    <t xml:space="preserve">Arquitectura Empresarial </t>
  </si>
  <si>
    <t xml:space="preserve">Derecho a la información </t>
  </si>
  <si>
    <t>% de cumplimiento definición y ejecución plan de aprendizaje organizacional</t>
  </si>
  <si>
    <t xml:space="preserve">Responsable </t>
  </si>
  <si>
    <t>Derecho a la  Información</t>
  </si>
  <si>
    <t xml:space="preserve">Derecho que le aplica </t>
  </si>
  <si>
    <t>SAyD</t>
  </si>
  <si>
    <t xml:space="preserve">Gestión del conocimiento como insumo para la estabilización de pruebas </t>
  </si>
  <si>
    <t>Banco de información de buenas prácticas y lecciones aprendidas del diseño de pruebas.</t>
  </si>
  <si>
    <t>SDI</t>
  </si>
  <si>
    <t xml:space="preserve">Cadena de Valor </t>
  </si>
  <si>
    <t>Aplicación</t>
  </si>
  <si>
    <t xml:space="preserve">Calificación </t>
  </si>
  <si>
    <t>Construcción, diagramación de ítems, revisión de estilo</t>
  </si>
  <si>
    <t>Diagramación de la prueba</t>
  </si>
  <si>
    <t>Planeación de la Prueba</t>
  </si>
  <si>
    <t>100% de las actividades planeadas para la vigencia</t>
  </si>
  <si>
    <t>Sampling tasks enviadas</t>
  </si>
  <si>
    <t>Exámenes aplicados</t>
  </si>
  <si>
    <t>Pruebas monitoreadas</t>
  </si>
  <si>
    <t>Marcos de referencia</t>
  </si>
  <si>
    <t>Guías actualizadas</t>
  </si>
  <si>
    <t>Bloques de preguntas</t>
  </si>
  <si>
    <t>Pruebas armadas y diagramadas</t>
  </si>
  <si>
    <t>Respuestas codificadas</t>
  </si>
  <si>
    <t>Envío constante de Sampling tasks para PISA 2018,TALIS 2018 y TALIS Video Study 2018</t>
  </si>
  <si>
    <t>Llevar a cabo la aplicación del examen de Saber 11, Saber PRO y Saber 359 de acuerdo al cronograma establecido</t>
  </si>
  <si>
    <t>Monitoreo de las pruebas de Estado</t>
  </si>
  <si>
    <t>Elaborar, editar y diagramar los marcos de referencia de los exámenes de estado</t>
  </si>
  <si>
    <t xml:space="preserve">Armado  y diagramación de las diferentes pruebas </t>
  </si>
  <si>
    <t>Codificación de las respuestas de las pruebas en función de los cronogramas establecidos</t>
  </si>
  <si>
    <t>SE</t>
  </si>
  <si>
    <t>SAI</t>
  </si>
  <si>
    <t>SPI</t>
  </si>
  <si>
    <t>DIMENSIÓN MIPG</t>
  </si>
  <si>
    <t>PLANES MIPG</t>
  </si>
  <si>
    <t>Plan Estratégico de Talento Humano</t>
  </si>
  <si>
    <t>Planes de Bienestar e Incentivos</t>
  </si>
  <si>
    <t>Plan Institucional de Capacitación – PIC</t>
  </si>
  <si>
    <t>Plan de Trabajo Anual en Seguridad y Salud en el Trabajo</t>
  </si>
  <si>
    <t>Plan Anual de Adquisiciones CCE</t>
  </si>
  <si>
    <t>Plan Estratégico Tecnologías de la Información y las Comunicaciones - PETIC</t>
  </si>
  <si>
    <t>Plan de Seguridad y Privacidad de la Información</t>
  </si>
  <si>
    <t>Plan de Tratamiento de Riesgos de Seguridad y Privacidad de la Información</t>
  </si>
  <si>
    <t>Plan Anticorrupción y de Atención al Ciudadano</t>
  </si>
  <si>
    <t>Plan Institucional de Archivos –PINAR</t>
  </si>
  <si>
    <t>SEGUIMIENTO  TRIMESTRAL</t>
  </si>
  <si>
    <t>I</t>
  </si>
  <si>
    <t>II</t>
  </si>
  <si>
    <t>III</t>
  </si>
  <si>
    <t>IV</t>
  </si>
  <si>
    <t>Seguimiento Actividades</t>
  </si>
  <si>
    <t>%
Ejecutado</t>
  </si>
  <si>
    <t>Análisis</t>
  </si>
  <si>
    <t>Evidencia</t>
  </si>
  <si>
    <t xml:space="preserve">Reunir y documentar evidencia acerca de la manera en la que se están desarrollando en terreno los lineamientos establecidos por el Icfes para la palicación de los exámenes, con el fin de poder establecer las posibles incidencias de la ejecución de los procedimientos y protocolos de aplicación sobre el posterior proceso de calificación 
1. Monitoréo aplicación Saber 11, Calendario B 
2. Monitoreo aplicación Saber Pro y TyT 
3. Monitoreo aplicación Saber TyT </t>
  </si>
  <si>
    <t>Procesamiento y calificación de Saber PRO y Saber TyT 2017. Calificación de Saber PRO exterior 2017. Entrega de calibraciones para armado y generación de otros insumos.</t>
  </si>
  <si>
    <t>* Procesamiento y calificación de Saber PRO, Saber TyT y Saber PRO Exterior  2017.
* Construcción y entrega de calibraciones para armado de la prueba. 
* Validación de agregados.
* Porcentaje de respuestas incorrectas por afirmaciones.</t>
  </si>
  <si>
    <t>Generación de insumos para análisis de ítems, procesamiento y calificación de Saber PRO y Saber TyT 2018. Calificación de Saber PRO exterior 2018. Entrega de calibraciones para armado y generación de otros insumos.</t>
  </si>
  <si>
    <t>* Insumos para análisis de items.
* Procesamiento y calificación de Saber PRO, Saber TyT y Saber PRO Exterior  2018.
* Construcción y entrega de calibraciones para armado de la prueba. 
* Validación de agregados.
* Porcentaje de respuestas incorrectas por afirmaciones.</t>
  </si>
  <si>
    <t>Procesamiento y calificación de Saber 3579 vigencia 2017</t>
  </si>
  <si>
    <t xml:space="preserve">* Procesamiento y calificación de Saber 359 aplicado en 2017.
* Construcción y entrega de calibraciones para armado de la prueba. 
</t>
  </si>
  <si>
    <t>Piloto República Dominicana, Prueba Mayores,  prueba de patrulleros para ascenso a grado Subintendente</t>
  </si>
  <si>
    <t xml:space="preserve">Calificación Otras pruebas </t>
  </si>
  <si>
    <t xml:space="preserve">Procesamiento y calificación de Saber 11, Presaber, Validantes para 2018-1 y 2018-2, así como la entrega de calibraciones para armado de la prueba y generación de otros insumos. </t>
  </si>
  <si>
    <t>* Insumos para análisis de items.
* Procesamiento y calificación de Saber 11, Presaber, Validantes 2018.
* Construcción y entrega de calibraciones para armado de la prueba. 
* Validación de agregados.
* Porcentaje de respuestas incorrectas por afirmaciones.</t>
  </si>
  <si>
    <t>Resolución 161 DE 2016 y Resolución 457 DE 2016</t>
  </si>
  <si>
    <t>Resolución 455 de 2016</t>
  </si>
  <si>
    <t>Resolución 252 de 2017</t>
  </si>
  <si>
    <t xml:space="preserve">% de avance </t>
  </si>
  <si>
    <t>* Sampling tasks para PISA 2018.
* Generación de insumos para análisis de ítems de PISA for schools.
* Apoyo en la calificación y generación de insumos para PISA for schools.</t>
  </si>
  <si>
    <t xml:space="preserve">Pruebas adaptativas </t>
  </si>
  <si>
    <t xml:space="preserve">1. Reportes históricos de Saber PRO y Saber TyT para institución, sede y programa (6 reportes)
2. Reporte histórico por ETC_ Saber 11.
3. Publicación de reportes de resultados Saber 3,5 y 9 por estudiante 
4. Informes de factores asociados para la Evaluación Formativa.
5. Continuar con la publicación de los documentos de características del aprendizaje por ETC y el agregado nacional.
6. Publicación de Informes de resultados de 2012 Estudio principal 
7. Publicación de Informes de resultados de 2013 a 2015.
8. Publicación de informe de Escuelas Efectivas.
9. Cuestionario de factores asociados para evaluación formativa por estudiante, docente y rector.
10. Diseño e implementación de divulgación sobre ICCS y su relación con Acciones y Actitudes Ciudadanas.
11. Mailing masivo a instituciones educativas con reportes de resultados.
12. Boletín trimestral para incentivar la lectura de documentos producidos.
</t>
  </si>
  <si>
    <t>Producir información de interés, clara y pertinente para los diferentes públicos objetivos para incentivar la toma de decisiones y la construcción de planes de mejoramiento.</t>
  </si>
  <si>
    <t xml:space="preserve">1. Guía de interpretación y uso de resultados para establecimientos educativos y ETC, con énfasis en plan de mejoramiento.
2. Seis guías Saber Pro y Saber TyT.
3. Guía de reporte histórica ETC_SABER 11.
4. Informe Latinoamericano de ICCS.
5. 3 Informes nacionales de las Pruebas de Estado
6. Infografías.
7. Guía de interpretación de resultados para el reporte individual. Saber 359.
8. Crear contenidos adaptados para el grupo de "Estudiantes padres de familia y comunidad" dentro de la página Web.
9. Consolidar y divulgar las novedades de ICFESNAUTAS (Red_papaz)
10. Material explicativo sobre niveles de desempeño.
11. Infografías
12. Plataforma de ítems liberados de Saber 11
13. Plataforma de ítems liberados Saber PRO
14. Evaluación formativa con Saber 3,5 y 9; en los grados 4, 6 y 8.
15. Encuentro de Líderes
</t>
  </si>
  <si>
    <t xml:space="preserve">Diseñar y desarrollar estrategias alternativas para llegar a todos los grupos de interés.
</t>
  </si>
  <si>
    <t xml:space="preserve">1. Implementación del curso virtual de interpretación de resultados para Saber 11.
2. Diseño e implementación del curso virtual sobre evaluación.
3. Diseño pilotaje y publicación de talleres de uso de resultados para: Docente y padre de familia, Docente con el estudiante; Padre con el estudiante.
4. Diseñar videos cortos de interpretación de resultados para estudiantes.
</t>
  </si>
  <si>
    <t xml:space="preserve"> * Definir el número de marcos requeridos para construcción
 * Elaborar los marcos proyectados
 * Revisar, editar y diagramar los marcos construidos
 * Publicar los marcos diagramados</t>
  </si>
  <si>
    <t xml:space="preserve"> * Definir el número de guías y cuales guías requieren edición en la vigencia
 * Editar y diagramar las guías ajustadas
 * Publicar las guías actualizadas</t>
  </si>
  <si>
    <t>Actualizar guías de orientación de las  pruebas de estado y proyectos especiales que aplique el ICFES.</t>
  </si>
  <si>
    <t>Plan de actualización MIPG</t>
  </si>
  <si>
    <t>Nivel de ejecución del Plan de actualización del Modelo Integrado de Planeación y Gestión - MIPG</t>
  </si>
  <si>
    <t>Ejecutar las actividades de vínculo laboral  de acuerdo con las necesidades de la entidad y garantizando su oportunidad, ejecutando el Plan de Vacantes.</t>
  </si>
  <si>
    <t>Ejecutar las actividades del Plan de previsión, según se requiera</t>
  </si>
  <si>
    <t>Porcentaje de cumplimiento del  Plan de Mantenimiento de Servicios Tecnológicos</t>
  </si>
  <si>
    <t>N/A</t>
  </si>
  <si>
    <t xml:space="preserve">Retroalimentación a las áreas de los resultados del Estudio de Percepción, con el fin de entregar información relevante para la mejora de los procesos. </t>
  </si>
  <si>
    <t xml:space="preserve">Porcentaje de actualización del manual de atención al ciudadano. </t>
  </si>
  <si>
    <t>Actualizar el  manual de atención al ciudadano con base en los lineamientos establecidos por el Programa Nacional de Servicio al Ciudadano del DNP</t>
  </si>
  <si>
    <t xml:space="preserve">Cantidad de sesiones realizadas con el proveedor para el seguimiento y control de los indicadores. </t>
  </si>
  <si>
    <t xml:space="preserve">Número </t>
  </si>
  <si>
    <t xml:space="preserve"> Medir la oportunidad y niveles de servicio en la atención de los canales que se encuentran en funcionamiento
</t>
  </si>
  <si>
    <t xml:space="preserve">Realizar reuniones periódicas con el proveedor, con el fin de realizar el seguimiento de los indicadores de oportunidad y nivele de servicio de los canales de atención al ciudadano. </t>
  </si>
  <si>
    <t>Participación en las Ferias Nacionales de Servicio al Ciudadano lideradas por el DNP</t>
  </si>
  <si>
    <t>Número de ferias del servicio en las que participó el ICFES / número de Ferias Programadas por el Departamento Nacional de Planeación*100</t>
  </si>
  <si>
    <t xml:space="preserve">Porcentaje de envíos realizados/ sobre las bases de datos de los grupos de interés. </t>
  </si>
  <si>
    <t xml:space="preserve">Apoyo a la estrategia de rendición de cuentas con el envío de mailing a los grupos de interés del Instituto.
</t>
  </si>
  <si>
    <t xml:space="preserve">Porcentaje de aumento de transacciones recibidas por canal electrónico, semestralmente. </t>
  </si>
  <si>
    <t xml:space="preserve">Porcentaje </t>
  </si>
  <si>
    <t>Aumentar el número de transacciones recibidas por el Canal Electrónico, Sistema de Preguntas Frecuentes y Chat.</t>
  </si>
  <si>
    <t xml:space="preserve">Realizar actividades que aumenten en un 5% semestral la cantidad de transacciones recibidas por el canal electrónico. Sistema de Preguntas Frecuentes y Chat. </t>
  </si>
  <si>
    <t>Porcentaje de acompañamiento a Instituciones Educativas según el calendario de soporte a registro.</t>
  </si>
  <si>
    <t>Realizar acompañamiento directo por lo menos al 50% de las instituciones educativas que reportaron problemas en anteriores convocatorias, durante los procesos de inscripción para las pruebas:Saber 11°, Pre Saber y Validación Y Saber Pro y TyT</t>
  </si>
  <si>
    <t xml:space="preserve">Realizar publicación trimestral de los informes de PQRs, Quejas y Reclamos y Solicitudes de acceso a la información. </t>
  </si>
  <si>
    <t xml:space="preserve">Documentar oportunidades de mejora con base en el análisis de quejas y reclamos. </t>
  </si>
  <si>
    <t xml:space="preserve">Número de acciones de mejora realizadas </t>
  </si>
  <si>
    <t>Número de informes de PQRSD publicados</t>
  </si>
  <si>
    <t xml:space="preserve">Actualizar la información publicada sobre los  procedimientos para el acceso a trámites (inscripción a exámenes de estado) y servicios que ofrece el Instituto </t>
  </si>
  <si>
    <t xml:space="preserve">Actualizar la información en  la página web institucional </t>
  </si>
  <si>
    <t>Actualizar la información en el portal de Gobierno en Línea SUIT.</t>
  </si>
  <si>
    <t xml:space="preserve">Porcentaje de actualización de contenidos </t>
  </si>
  <si>
    <t>Diseñar  e implementar el Plan de Participación Ciudadana en la Gestión</t>
  </si>
  <si>
    <t>Elaboración del plan de comunicaciones, año 2018</t>
  </si>
  <si>
    <t>Cubrir el 100% de los procesos del ICFES con los requerimientos de seguridad de la información</t>
  </si>
  <si>
    <t>Realizar la implementación del SGSI para los procesos del ICFES</t>
  </si>
  <si>
    <t>Realizar revisiones del cumplimiento de los lineamientos del modelo de seguridad y privacidad de la información de Gobierno en Línea</t>
  </si>
  <si>
    <t>Implementación del Sistema de Gestión de Administración de Datos</t>
  </si>
  <si>
    <t>Conformar y formalizar el comité de gobierno de datos</t>
  </si>
  <si>
    <t>Definir políticas, lineamientos y estándares que rigen la administración de los datos al interior del Instituto</t>
  </si>
  <si>
    <t>Definir los procesos de administración de datos</t>
  </si>
  <si>
    <t>Definir los indicadores que miden el nivel de madurez en la administración de datos</t>
  </si>
  <si>
    <t>Revisar la estrategia actual de la entidad</t>
  </si>
  <si>
    <t>Análizar ell esquema de gobierno de TI de la organización</t>
  </si>
  <si>
    <t xml:space="preserve">Crear el catálogo de componentes de información </t>
  </si>
  <si>
    <t>Definir la arquitectura de información del ICFES</t>
  </si>
  <si>
    <t>Definir el estado deseado de los sistemas de información que apoyan los procesos misionales</t>
  </si>
  <si>
    <t xml:space="preserve">Definir la estrategia de uso y apropiación de los servicios de TI de la entidad </t>
  </si>
  <si>
    <t>Definir los lineamientos, estándares para el ICFES basados en los lineamientos del Marco de Referencia MINTIC para sistemas de información y uso de la información</t>
  </si>
  <si>
    <t>Implementar servicios que permitan la integración de las aplicaciones de la entidad de manera que se haga uso de la información y consumo de la misma de una manera confiable  y oportuna.</t>
  </si>
  <si>
    <t xml:space="preserve">
Lineamientos y estándares arquitectónicos definidos</t>
  </si>
  <si>
    <t xml:space="preserve">Servicios integrados que apoyen el intercambio de información y la transformación digital </t>
  </si>
  <si>
    <t>Convocatorias de investigación</t>
  </si>
  <si>
    <t>Seminario Internacional</t>
  </si>
  <si>
    <t>proceso convocatoria estudiantes de posgrado</t>
  </si>
  <si>
    <t xml:space="preserve">Divulgación Primer semestre
</t>
  </si>
  <si>
    <t>Revisión y selección Primer semestre</t>
  </si>
  <si>
    <t>Acompañamiento Primer Semestre</t>
  </si>
  <si>
    <t xml:space="preserve">Divulgación Segundo semestre
</t>
  </si>
  <si>
    <t>Revisión y selección Segundo Semestre</t>
  </si>
  <si>
    <t>Acompañamiento Segundo Semestre</t>
  </si>
  <si>
    <t xml:space="preserve"># asistentes </t>
  </si>
  <si>
    <t>&gt;700</t>
  </si>
  <si>
    <t>Planeación del Seminario</t>
  </si>
  <si>
    <t>Definición de Agenda Académica</t>
  </si>
  <si>
    <t>Divulgación del Seminario</t>
  </si>
  <si>
    <t>Logística y contratación</t>
  </si>
  <si>
    <t>&gt;90%</t>
  </si>
  <si>
    <t>Realización del Seminario</t>
  </si>
  <si>
    <t>Desarrollo del Seminario</t>
  </si>
  <si>
    <t>Evaluación del Seminario</t>
  </si>
  <si>
    <t>Desarrollo de proyectos de investigación</t>
  </si>
  <si>
    <t>Derecho a la educación, información y participación</t>
  </si>
  <si>
    <t>Derecho a la educación, información, libre expresión y participación</t>
  </si>
  <si>
    <t>Investigaciones</t>
  </si>
  <si>
    <t xml:space="preserve">La entidad ha realizado pagos equivalentes al 90,4% de las obligaciones adquiridas. Sin embargo ha cumplido con el 100% de los giros a terceros, conforme a lo establecido en las circulares de pago a contratistas, pasantes, proveedores, empleados y entidades externas. </t>
  </si>
  <si>
    <t>Los pagos realizados que hacen parte del presupuesto de gastos en la institución,  son reflejados en la plataforma transaccional vigente, los cuales pueden ser consultados en los movimientos de las cuentas bancarias del ICFES.</t>
  </si>
  <si>
    <t>Indicador obtenido en cumplimiento de la   programacion mensualizada de proveedores y contratistas al 31 03 2018</t>
  </si>
  <si>
    <t>Balance de prueba parcial al 31 03 2018 en archivo digital área contable</t>
  </si>
  <si>
    <t>Al final del ejercicio contable 2018  se debe lograr el indicador</t>
  </si>
  <si>
    <t>Incluyendo la disponibilidad inicial, los ingresos  durante el periodo sumaron $64.247 millones de pesos, de un total de $173.749 que se tiene previsto para la vigencia 2018</t>
  </si>
  <si>
    <t>Los ingresos recibidos por parte de la entidad, se pueden ver reflejados en la plataforma transaccional vigente y en las cuentas bancarias e inversiones de la misma.</t>
  </si>
  <si>
    <t>Se han realizado pagos de operación comercial por valor de $5.319 millones y se han comprometido $21.442 millones.</t>
  </si>
  <si>
    <t>Los pagos realizados que hacen parte del presupuesto de gastos en la institución,  son reflejados en la plataforma transaccional vigente</t>
  </si>
  <si>
    <t>Se han realizado pagos de gastos de funicionamiento por valor de $6.457 millones y se han comprometido $16.515 millones.</t>
  </si>
  <si>
    <t>Se han realizado pagos de gastos de inversión valor de $2.379 millones y se han comprometido $11.011 millones.</t>
  </si>
  <si>
    <t>28,18%</t>
  </si>
  <si>
    <t>Al finalizar el primer tirmestre del año se ha ejecutado el 28% del total de lo previsto para la vigencia; lo anterior obedeció a la necesidad de realizar buena parte de la contratación durante el mes de enero,  como consecuencia de la Ley de Garantías.</t>
  </si>
  <si>
    <t xml:space="preserve">La ejecución presupuestal se puede ver refelajada en la plataforma transaccional que se utiliza actualmente. </t>
  </si>
  <si>
    <t>* Realizar el diagnóstico y la caracterización de los requerimientos del Sistema de Gestión del Conocimiento.
* Construir una línea base del proceso de diseño y construcción de pruebas, de acuerdo con la clasificación, organización y depuración que se realice de la información consolidada de marcos de referencia, especificaciones de prueba y funcionamiento de cada una en las distintas aplicaciones. 
* Definir la estructura del Sistema de Gestión del Conocimiento que permita un manejo óptimo y eficiente de la información relacionada con los procesos de diseño y construcción de pruebas. El sistema debe generar un modelo para definir  lo que se hace, cómo se hace y para qué se hace, y documentar estos hechos para facilitar su acceso, uso y actualización.
* Gestionar la implementación del Sistema de Gestión del Conocimiento proporcionando los insumos para las fases de levantamiento, planeación, desarrrollo, pruebas y puesta en producción de los procedimientos relacionados (pre-armado, armado de pruebas, marcos de referencia, especificaciones de prueba, y comités técnicos de área), entregando la información modular que soporta el sistema.
 * Diseñar un plan de capacitación para los profesionales que usarán el Sistema de Gestión del Conocimiento implementado en la Subdirección de Diseño de Instrumentos.</t>
  </si>
  <si>
    <t xml:space="preserve">Durante el primer trimestre de la vigencia 2018 se ha adelantado:
1. Consolidación de un equipo interdisciplinario de la SDI para llevar a término el proyecto.
2. Ajuste de la propuesta de Proyecto Estategico de Gestión del conocimiento.
3. Dos reuniones con la Dirección de Técnologia para incluir la propuesta dentro de la herramienta PRISMA, indicando las necesidades para adelantar este proyecto y estableciendo las etapas en las cuales se llevará a cabo el proyecto.
4. Creación de un prototipo de consulta a través de una carpeta compartida con la estructura de ramificación, con base en los procesos y procedimientos de la SDI. 
5. Mineria de Información y organización de la misma en el árbol creado en la carpeta compartida. </t>
  </si>
  <si>
    <t>\\ICFESSERV5\Proyestratgestconocimiento$</t>
  </si>
  <si>
    <t>Construcción de marcos de referencia, instrumentos y especificaciones
Construcción o actualización de marcos de referencia para las pruebas</t>
  </si>
  <si>
    <t>Se han definido los marcos de referencia que son requeridos como construcción o ajuste, así:
1. Construcción: a. Razonamiento cuantitativo y matemáticas 11 (las dos subpruebas)
b. Sociales y ciudadanas 11 (las dos subpruebas)
c. Ciencias Naturales 11
d. Mantenimiento Instalación de Hardware y Software T&amp;T
e. Generación de artefactos
f. Arquitectura g. Estudio proyectual
h. Diagnóstico y tratamiento en salud oral
i. Comunicación escrita
j. Proyecto de Arquitectura
2. Revisión o ajuste:
a. Promoción de la salud y prevención de la enfermedad PRO y TyT
b. Pensamiento científico
c. Investigación en ciencias sociales
d. Información y control contable
e. Procesos comunicativos
f. Cuidado de enfermería en los ámbitos clínico y comunitario</t>
  </si>
  <si>
    <t>No requiere reporte de evidencia</t>
  </si>
  <si>
    <t>Como se refleja en el porcentaje proyectado para el periodo en mención, no se encontraba programado monitoreo a pruebas de Estado, de acuerdo a decisión de Comité directivo.</t>
  </si>
  <si>
    <t xml:space="preserve">Desde la Dirección de Evaluación, se adelantó la contratación de Mr. Mark Reckase, doctor en psiciología de la Unversidad de Syracuse y profesor en teoría psicométrica de la Universidad de Michigan. El asesor internacional se ha especializado en el desarrollo de pruebas educativas y psicológicas relacionadas con la teoría psicométrica y ha realizado investigaciones sobre pruebas adaptativas computarizadas y teoría de respuestas multidimensionales de ítems, por lo cual, desde la Dirección de Evaluación se consideró el perfil adecuado para brindar asesoría técnica para dar cumplimiento a las actividades planteadas en el marco del proyecto de pruebas adaptativas.
Así las cosas, el equipo conformado por personal de la subdirección de estadísticas, diseño de instrumentos y la subdirección de desarrollo de aplicaciones y liderado por la Dirección de Evaluación, ha adelantado documentos y presentaciones de contextualización misional al asesor técnico  para los insumos necesarios en la consolidación del proyecto. 
Por parte del Icfes se le ha enviado al señor Reckase una caracterización de banco de items de la prueba como insumo para el desarrollo de las simulaciones. "Information about item pool from Colombia". De igual forma, se le suministró un informe de arquitectura tecnológica.
Por otro lado, el consultor ha suministrado dos textos con información preliminar de la Prueba de Matemáticas y de Ciencias Naturales, en los cuales evidencia que ha trabajado según los compromisos contractuales. En los dos textos manifiesta la misma metodología: simulaciones para longitudes de la prueba de 15 y 20 items;análisis de la respectiva prueba para el "ideal item pool" teniendo como referencia la cantidad de items seleccionados, y por último muestra la evaluación de la calidad del funcionamiento de las pruebas CATs realizadas previamente. Cabe aclarar que adicional a éstos documentos, ha enviado otros textos  relacionados con aspectos técnicos de la metodología en pruebas adaptativas que ha trabajado en su trayectoria profesional, para una mayor comprensión del funcionamiento del mismo.
Paralelamente al desarrollo del  trabajo del  asesor,  la Dirección de Evaluación en conjunto con la Subdirección de Estadística, se está realizando un artículo en el cual se muestra los principales hallazgos del proyecto, y la aplicación del mismo  en la prueba Pre-Saber  (piloto) que se aplicará a mediados del año, lo cual dará insumos para observar el comportamiento de éste tipo de test,  observar mejoras y, evaluar la posible extensión de ésta metodología a otras pruebas que actualmente son  paper-pencil based. 
</t>
  </si>
  <si>
    <t>Los diferentes productos de la asesoría se encuentran archivados en el siguiente link: 
https://drive.google.com/drive/folders/1CXUhnfeH-zb1cAxMbGDcVCe_Rka474od</t>
  </si>
  <si>
    <t xml:space="preserve">La evidencia se encuentra disponible en el archivo de gestión de la Subdirección de Aplicación de Instrumentos. 
(Informe administrativo) </t>
  </si>
  <si>
    <t>No  se tienen actividades programadas para el primer trimestre</t>
  </si>
  <si>
    <t>Incluye los Planes de Acción y Cronogramas para la vigencia 2018.</t>
  </si>
  <si>
    <t>Resolución 000072 del 15 de enero de 2018, por la cual se adopta la Dimensión y Políticas del Talento Humano (Antes Plan Estratégico de Talento Humano)</t>
  </si>
  <si>
    <t>Se han cumplido a cabalidad las actividades programadas.</t>
  </si>
  <si>
    <t>Informes trimestrales de seguimiento a la ejecución de los Planes de Acción y Cronogramas de la Dimensión de Talento Humano - 2018</t>
  </si>
  <si>
    <t>Con la Res. 000072 también se adoptó el PIC para la vigencia 2018.</t>
  </si>
  <si>
    <t>Indicadores mensuales de seguimiento a la ejecución del PIC.</t>
  </si>
  <si>
    <t>NA</t>
  </si>
  <si>
    <t>Evidencia en las carpetas de seguimiento y avance del Plan de Acción del PIC</t>
  </si>
  <si>
    <t>Con la Res. 000072 también se adoptó el Plan de Bienestar e Incentivos para la vigencia 2018.</t>
  </si>
  <si>
    <t>Indicadores mensuales de seguimiento a la ejecución del Plan de Bienestar e Incentivos.</t>
  </si>
  <si>
    <t>Caracterización de servidores y de su núcleo familiar, disponible en archivos y carpetas de la Subdirección, la cual esta siendo migrada al ERP de nómina Payroll.</t>
  </si>
  <si>
    <t>Se está adelantando el documento diagnóstico.</t>
  </si>
  <si>
    <t>Indicadores mensuales de seguimiento a la ejecución del Plan de Seguridad y Salud en el Trabajo.</t>
  </si>
  <si>
    <t>Evidencias existentes en las Historias Laborales de nuevos funcionarios y de estudiantes en práctica.</t>
  </si>
  <si>
    <t>Evidencias en archivos físicos de Procesos de Selección y en las Historias Laborales</t>
  </si>
  <si>
    <t>Se realizaron todas las actividades programadas. Se está haciendo el análisis de razones de retiro y está en proceso de revisión final y aprobación el acto administrativo que adopta el teletrabajo.</t>
  </si>
  <si>
    <t>Carpetas de seguimiento a la ejecución del Plan de Acción.</t>
  </si>
  <si>
    <t>Se encuentra en proceso de revisión el acto administrativo que adopta el Código de Integridad.</t>
  </si>
  <si>
    <t>Se realizó la evaluacion al 100% de los funcionarios de CA, con un promedio de calificacion del 98%</t>
  </si>
  <si>
    <t>Formato de calificacion en la historia laboral de cada funcionario</t>
  </si>
  <si>
    <t>Evidencias de la inducción existentes en las Historias Laborales de nuevos funcionarios y de estudiantes en práctica.</t>
  </si>
  <si>
    <t>Medición de cobertura semestral</t>
  </si>
  <si>
    <t>Actualizar Plan Estratégico de Talento Humano, para la vigencia 2018
Para esta vigencia el PETH se denomina Dimensión del Talento Humano.</t>
  </si>
  <si>
    <t>Registro de seguimiento a las actividades del Grupo Gestor DEI</t>
  </si>
  <si>
    <t>- Se elaboró el plan de Comunicaciones 2018, por parte de la Oficina.
- Socializamos el mismo con la Oficina de Planeación para conocimiento y observaciones a la que hubiera lugar.
- Posterior publicación en la página WEB.</t>
  </si>
  <si>
    <t>http://www.icfes.gov.co/transparencia/planeacion/politicas-lineamientos-y-manuales</t>
  </si>
  <si>
    <t>En el periodo comprendido entre el 01/01/2018 y 31/03/2018, se han realizado 364 piezas gráficas, para las diferentes pruebas, programas y estrategias de la Entidad.</t>
  </si>
  <si>
    <t>\\icfesserv5\comunicaciones$\AÑO 2018\CALIDAD\VARIOS\DISEÑOS</t>
  </si>
  <si>
    <t>A la fecha se encuentra en proceso de ejecución</t>
  </si>
  <si>
    <t>http://www.icfes.gov.co/transparencia-informacion</t>
  </si>
  <si>
    <t xml:space="preserve">Se realizó la calificación de las pruebas Saber 3,5,9 -2017 y  Saber Pro y TyT 2017-3, aplicando la metodología de calificación de 3PL, como se estableció a partir del año 2016. 
</t>
  </si>
  <si>
    <t>Como evidencia se cuentan con archivos txt de las salidas de los programas que permiten la asignación de puntajes, con la configuración de 3PL. 
Asignación de puntajes de las pruebas: \\icfesserv5\academica$</t>
  </si>
  <si>
    <t>Se ha avanzado en los análisis del proceso de calibración, en los siguientes aspectos: 
*Análisis de comportamiento diferencial
*Metodología para aumento de datos
*Adaptación del análisis de copia. 
*Piloto de escala vertical Saber 3°. 5° y 9° 2017. 
*Análisis factoriales bajo teoría de respuesta al ítem.</t>
  </si>
  <si>
    <t>Documentos PDF de reporte.
Documentos técnicos: \\icfesserv5\academica$</t>
  </si>
  <si>
    <t xml:space="preserve">Para el I trimestre del año, se realiza la totalidad de la tarea como se había establecido inicialmente. El cumplimiento de esta tarea implicó el procesamiento y calificación de la prueba Saber Pro, Saber TyT, y Pro Exterior,  generación de un archivo con el parámetro de ítems, calibraciones para pilotos, la generación de análisis de ítems inicial y de pilotos para Saber TyT y Pro. 
Adicionalmente se atendieron las peticiones, quejas y reclamos allegadas a la dependencia y se realizaron procesos de recalificación de acuerdo a los casos. 
Finalmente, se realizaron las validaciones de los resultados agregados y los resultados por afirmaciones durante el mes de marzo. </t>
  </si>
  <si>
    <t xml:space="preserve">Como evidencia se cuentan con archivos HTML y Excel relacionados al análisis de ítem, así como también se cuenta con salidas txt como evidencias de la calificación de los exámenes Saber Pro, TyT y Pro Exterior. 
Evidencias: analitem
\\icfesserv5\analisisitems$
Calificación Saber Pro 
\\icfesserv5\academica$\ECAES_EK\ECAES_2017\EK20173\EK20173_PROF
Calificación TyT 
\\icfesserv5\academica$\ECAES_EK\ECAES_2017\EK20173\EK20173_TyT
Pro exterior 
\\icfesserv5\academica$\ECAES_EK\ECAES_2017\EK20172_Exterior
</t>
  </si>
  <si>
    <t>Todas las actividades programadas para el primer trimestre del 2018, han sido realizadas. Es de anotar que el Plan Anual de Auditoría contiene todas las actividades relacionadas con los roles que debe desarrollar la Oficina de Control Interno.</t>
  </si>
  <si>
    <t>Reporte de seguimiento al Plan Anual de Auditoría.</t>
  </si>
  <si>
    <t>Teniendo en cuenta que todas las actividades de la Oficina de Control Interno se encuentran contenidas en el Plan Anual de Auditoría y que éste se elaboró con base en los Roles establecidos en el Decreto 648 de 2017, en el desarrollo de las actividades de "Evaluación y seguimiento" se puede evidenciar la actividad de Seguimiento al Plan de Mejoramiento.</t>
  </si>
  <si>
    <t>Diagramación y revisión de estilo de ítems construidos.</t>
  </si>
  <si>
    <t>* Revisar estilo de redacción
* Diagramar ítems</t>
  </si>
  <si>
    <t>Se realizó armado de Saber 11 B Extemporáneo</t>
  </si>
  <si>
    <t>En este trimestre no se tiene proyectada esta actividad.</t>
  </si>
  <si>
    <t xml:space="preserve">http://www.icfesinteractivo.gov.co/resultados-saber2016-web/pages/publicacionResultados/agregados/saberPro/consultaAgregadosIES.jsf#No-back-button
http://www.icfes.gov.co/divulgaciones-establecimientos/saber-11/divulgacion-2018
</t>
  </si>
  <si>
    <t xml:space="preserve">• Guía de interpretación y uso de resultados para establecimientos educativos y ETC, con énfasis en plan de mejoramiento.: Realizamos guía de interpretación de uso de resultados Saber 11 para Establecimientos Educativos y guía de interpretación de uso de resultados Saber 11 para Entidades Territoriales.
Realizamos la guía de interpretación para el reporte niño a niño en Saber 359.
Fue entregada al Ministerio de Educación Nacional la guía para la interpretación de resultados de Saber 359 dirigida a establecimientos educativos.
• Guía de interpretación de resultados para el reporte individual. Saber 359: realizada y publicada en la consulta de resultados en la plataforma PRISMA.
• Evaluación formativa con Saber 3,5 y 9; en los grados 4, 6 y 8.: realizamos diferentes actividades como: Focus Group (convocatoria, presentación, cuestionario y encuesta), revisión histórica de los usuarios, desarrollo de Avancemos (logo y armados por área). Planteamos el alcance del proyecto, el objetivo, definimos qué es, a quién va dirigido, los requerimientos técnicos, el armado, el desarrollo de la plataforma de inscripción y de consulta de resultados. Hicimos el lanzamiento nacional de la estrategia el 15 de marzo en el encuentro de líderes de evaluación.
• Encuentro de Líderes: Se realizó el encuentro, los días 15 y 16 de marzo del presente año con una agenda de 2:00 pm a 6: pm y 8:00 am a 12 m respectivamente, en el evento se realizó lanzamiento de la iniciativa SUMMA, presentación de la estrategia de Evaluación Formativa, un Taller enfocado en la construcción de Planes de Mejoramiento Institucional, y una introducción del curso de Interpretación y Uso de Resultados del Examen Saber 11 en Moodle.
</t>
  </si>
  <si>
    <t>http://www.icfes.gov.co/instituciones-educativas-y-secretarias/saber-11/documentos
https://drive.google.com/drive/u/0/folders/1bcFT_CFTpU-1fq_yTttV_XrikMUCFt-D
https://drive.google.com/drive/u/0/folders/1aGPHCHOcSblCyYp_xkLnYyXY56WUETzd
Correo</t>
  </si>
  <si>
    <t xml:space="preserve">• Implementación del curso virtual de interpretación de resultados para Saber 11: el curso fue recibido a satisfacción, fue piloteado y está listo para ser implementado durante el segundo trimestre del año. Las inscripciones a nivel nacional se abren el 15 de abril.
• Diseñar videos cortos de interpretación de resultados para estudiantes: se hizo para el reporte individual de 359.
</t>
  </si>
  <si>
    <t>Durante el primer trimestre de la vigencia 2018 se ha adelantado la actualización del documento de caracterización y procedimiento de Nuevos Negocios (pendiente de aprobación), teniendo en cuenta las sugerencias de los miembros del equipo de nUevos Negocios y el jefe de la OAP.</t>
  </si>
  <si>
    <t>\\icfesserv5\planeacion$\2018\NUEVOS NEGOCIOS\Actualización documentos caracterización y procedimiento</t>
  </si>
  <si>
    <t xml:space="preserve">E Plan Anticorrupción y de Atención al Ciudadano se encuentra disponible en el link de transparencia de la página web, en el numeral 6. Planeación:  http://www.icfes.gov.co/transparencia/planeacion/politicas-lineamientos-y-manuales </t>
  </si>
  <si>
    <t>Se formuló el Plan de actualización MIPG, el cual fue presentado y aprobado en el comité institucional de gestión y desempeño el día 22/02/2018. Durante el primer trimestre de 2018 se han ejecutado 6 de las 16 actividades planteadas, logrando una ejecución del plan del 38%</t>
  </si>
  <si>
    <t>El acta del comité institucional de gestióny desempeño  y el Plan de actualización del MIPG reposa en la Oficina Asesora de Planeación. Se puede consultar en la carpeta compartida: \\icfesserv5\planeacion$\2018\GESTION Y DESEMPEÑO\MIPG II\Comité de Gestión y Desempeño\1. Comité 22022018</t>
  </si>
  <si>
    <t xml:space="preserve">El presente documento evidencia la inclusión de los planes. Este documento  se encuentra disponible en el link de transparencia de la página web, en el numeral 6. Planeación:  http://www.icfes.gov.co/transparencia/planeacion/politicas-lineamientos-y-manuales </t>
  </si>
  <si>
    <t xml:space="preserve">Se formuló  el Plan de Acción Institucional, el cual fue puesto a consideración de la ciudadanía del 25 al 30 de enero de 2018 mediante la página web (externo) y correo electrónico (interno).  El 31 de enero se realizó la publicación en versión final en el link de transparencia. 
En el Plan de acción de incluyó el Plan de anticorrupción y atención al ciudadano, el Plan estratégico del talento humano, el Plan estratégico de tecnologías de la información-PETI y el Plan anual de adquisiciones -PAA. En una segunda versión publicada el 30 de marzo de 2018 se incluyó el Plan de vacantes,  plan de previsión de cargos y plan de actualización del MIPG. </t>
  </si>
  <si>
    <t>Se formuló el Plan Anticorrupción y de Atención al Ciudadano, el cual fue puesto a consideración de la ciudadanía del 25 al 30 de enero de 2018 mediante la página web (externo) y correo electrónico (interno).  El 31 de enero se realizó la publicación en versión final en el link de transparencia.</t>
  </si>
  <si>
    <t>http://www.icfes.gov.co/divulgaciones-establecimientos/cursos-virtuales/introduccion                                                                                                                           https://youtu.be/WvyuD3QqhgM
https://youtu.be/CLBK2U4BvOo
https://youtu.be/ZfB9EuerOlI
https://youtu.be/KkTsEP2--H0
https://youtu.be/ZfB9EuerOlI</t>
  </si>
  <si>
    <t xml:space="preserve">El día 13 de febrero de 2018 se realizó la solicitud al CNC del detalle de las bases de datos con las calificaciones del Estudio de Percepción respecto a los Canales de Atención, con el fin de comenzar con la retroalimentación en la Unidad de Atención al Ciudadano y teniendo en cuenta esta información, se solicitó al proveedor del Centro de Gestión de Servicio el día 14 de marzo de 2018, el plan de acción de mejoramiento.
Adicionalmente, se inició la gestión para el desarrollo de la actividad de socialización de resultados, que realiza directamente el CNC con el fin de compartir los resultados, con todas las áreas del Instituto. 
</t>
  </si>
  <si>
    <t xml:space="preserve">Correo de ICFES - Solicitud base de datos Estudio de Percepción_13/02/2018
Correo de ICFES - Resultados canales de atención Estudio de Percepción_09/03/2018
Correo de ICFES - Socialización resultados estudio de percepción del ICFES_14/03/2018
</t>
  </si>
  <si>
    <t xml:space="preserve">Se realizó la medición del indicador de satisfacción mensual para el primer trimestre del año, en todos los Canales de Atención, en total se realizaron 63.378 encuestas, con una nota promedio de 4.53. </t>
  </si>
  <si>
    <t>Información consignada en el Sistema de Gestión de Calidad DARUMA 
https://icfes.darumasoftware.com/app.php/</t>
  </si>
  <si>
    <t xml:space="preserve">Se realizó una primera revisión de los documentos y formatos que hacen parte del Sistema de Gestión de Calidad, dentro de los cuales está incluido el Protocolo de Atención al Ciudadano, en conjunto con la Oficina Asesora de Planeación en la mesa de trabajo que se llevó a cabo el día 21 de marzo de 2018.  
Como resultado de esta actividad se consideraron los puntos de actualización del documento teniendo en cuenta los lineamientos establecidos por el Programa Nacional de Servicio al Ciudadano del DNP y los avances en accesibilidad que se han dado en nuestros canales de atención, desde la última actualización del documento
</t>
  </si>
  <si>
    <t>Correo de ICFES - Compromisos mesa de trabajo revisión de documentos e indicadores F1 _27/03/2018</t>
  </si>
  <si>
    <t xml:space="preserve">Durante el primer trimestre se llevaron a cabo tres reuniones con los líderes de la operación y el equipo supervisor del contrato:
1. Presentación Definición Quejas y Reclamos el 18 enero de 2018
2. Presentación Informe mes de diciembre 2017 el 25 de enero de 2018
3. Presentación Informe anual Centro de Gestión de Servicios el 21 de febrero de 2018
</t>
  </si>
  <si>
    <t xml:space="preserve">Acta de Reunión No. 33 Presentación Definición Quejas y Reclamos del 18 enero de 2018
Acta de reunión No 34. Presentación Informe mes de diciembre 2017 del 25 de enero de 2018
Acta de reunión No. 35 Presentación Informe anual Centro de Gestión de Servicios del 21 de febrero de 2018
</t>
  </si>
  <si>
    <t xml:space="preserve">
Se participó en la primera Feria Nacional de Servicio al Ciudadano, que se llevó a cabo el 17 de marzo en el municipio de Manaure Departamento de la Guajira.
</t>
  </si>
  <si>
    <t xml:space="preserve">Informe Feria Manaure </t>
  </si>
  <si>
    <t xml:space="preserve">Se participó en la reunión del equipo de rendición de cuentas el día 05 de marzo de 2018, donde se determinó la responsabilidad de la Unidad de Atención al Ciudadano para el envío de mailing para la difusión del evento, con las piezas diseñadas por la Oficina de Comunicaciones y las bases de datos entregadas por la Dirección de Tecnología.  </t>
  </si>
  <si>
    <t xml:space="preserve">El acta de la reunión reposa en la OAP </t>
  </si>
  <si>
    <t>Se realiza el monitoreo de las transacciones y  a pesar de que la meta de crecimiento es semestral, se evidencia que durante el primer trimestre el incremento de las interacciones en total fue del 2,12%.</t>
  </si>
  <si>
    <t>Resumen transacciones Canal Electrónico Chat- SPF</t>
  </si>
  <si>
    <t>De 73 Instituciones que realizaron reclamaciones a través de la línea, chat y Orfeo en el 2017, se realizó el acompañamiento a 50 instituciones, con el fin de garantizar el registro de los estudiantes. Es decir, se realizó el acompañamiento al 68.5 % de las instituciones educativas que reportaron problemas en anteriores convocatorias para la inscripción de prueba Saber T y T durante los meses de febrero y marzo de 2018.</t>
  </si>
  <si>
    <t xml:space="preserve">Informe Campaña de Acompañamiento Saber Ty T 2018-1  </t>
  </si>
  <si>
    <t>Rad. 20182100013543
Rad. 20181200015893</t>
  </si>
  <si>
    <t xml:space="preserve">El día 19 de febrero de 2018 se remitió comunicación interna No. 20182100013543 al Jefe de la Oficina de Planeación, indicando que se propone dejar como estrategia de racionalización 2018, el tramite “Corrección/cambio legal de datos en nombres, apellidos, documento y/o tipo de documento de identidad”, sobre el cual se disminuirá el plazo de respuesta de 15 días hábiles a 10 días hábiles.
</t>
  </si>
  <si>
    <t xml:space="preserve">
Durante el mes de enero de 2018 se realizó la publicación de todos los informes consolidando el último trimestre del año 2018. Los informes del primer trimestre de 2018, se encuentran en proceso de consolidación  y se publicaran en el portal Institucional durante el mes de abril. 
</t>
  </si>
  <si>
    <t xml:space="preserve">Los informes están publicados en: http://www.icfes.gov.co/ </t>
  </si>
  <si>
    <t>Durante el primer trimestre del año 2018, se ha dado ejecución a las actividades del Plan de Acción PA1715-004, cuyo objetivo es fortalecer los conceptos y la correcta tipificación de las quejas y los reclamos en conjunto con el proveedor del Centro de Gestión de Servicios, atendiendo a las recomendaciones de la última auditoría de seguimiento llevada a cabo por el ICONTEC.</t>
  </si>
  <si>
    <t xml:space="preserve">Durante el primer trimestre del año 2018, desde la Unidad de Atención al Ciudadano se realizaron en promedio 15 solicitudes mensuales de actualización de contenidos a la Oficina Asesora de Comunicaciones, con el fin de asegurar que los ciudadanos visualicen información, clara, oportuna y pertinente. Es importante destacar la revisión de los Paso a Paso para la inscripción de la prueba Saber T y T 2018-1, que se realizó el 08 de febrero en conjunto con la Dirección de Tecnología. </t>
  </si>
  <si>
    <t xml:space="preserve">Correo de ICFES - Prioridad - Diseño Paso a Paso Saber T y T_ Remplazar Fechas Paso a Paso Calendario B 2018
Los formatos de solicitud de apoyo en diseño, A2-FT001, reposan en la OAC.  </t>
  </si>
  <si>
    <t>Durante el mes de enero de 2018, se realizó la revisión y actualización 7 trámites y servicios, asimismo, se ha cargado la información del módulo de gestión de datos de operación para los meses de diciembre de 2017 y enero de 2018.</t>
  </si>
  <si>
    <t xml:space="preserve">Memoria SUIT. </t>
  </si>
  <si>
    <t>En el primer trimestre del presente año para las prueba internacionales se ha realizado las siguientes actividades: PISA: Se realizó el task ST11 así como la revisión de los archivos IPT, SFKQ y SPT enviados por la OECD, con base en estos archivos se procedió a realizar el muestreo de estudiantes para el primer envío de colegios entregados por la subdirección de aplicaciones. Igualmente, se generaron los listados de seguimiento a los estudiantes y los listados de asistencia a las sesiones. PISA4sch: Se generaron los insumos necesarios para llevar a cabo el proceso de calificación de la prueba piloto, además se llevó acabo el proceso de calificación y de generación de agregados para dicha prueba. TP_link Se realizó el muestreo de los profesores que deberán presentar la encuesta de Talis Pisa link con base en la información que ha ido entregando la subdirecciones de aplicaciones TALISTVS se han muestreado los salones que se incluirán en el estudio de acuerdo al cronograma de aplicaciones establecido.</t>
  </si>
  <si>
    <t xml:space="preserve">Se cuenta con carpetas en Drive que contiene la información por Prueba Internacional. 
correo electrónico </t>
  </si>
  <si>
    <t xml:space="preserve">Para el primer trimestre del año, se informa que se realizó la calificación de Saber 3,5 y 9 la cual implicó la generación y validación de agregados,  la generación de porcentaje de respuestas incorrectas por afirmaciones, así como la generación de insumos para el FTP, insumos para el calculo del ISCE para el mes de febrero y la elaboración de insumos con porcentaje de respuestas incorrectas por componente. </t>
  </si>
  <si>
    <t xml:space="preserve">Como evidencia de las actividades mencionadas se encuentran archivos en Excel con resultados agregados a nivel país, departamento, Etc., municipio, establecimiento y sede. 
Adicionalmente se generaron archivos Excel con el porcentajes de respuestas incorrectas para cada afirmación dentro de cada colegio, grado y área- a nivel de país y entidad territorial. </t>
  </si>
  <si>
    <t>Se publicaron los términos de referencia en página web, se abrió la convocatoria y se desarrollaron 4 visitas de promoción en las regiones.</t>
  </si>
  <si>
    <t>Publicaciones en página web y base de asistentes a jornadas de divulgación.</t>
  </si>
  <si>
    <t>La agenda está en un grado considerable de avance y ya se definieron las actividades complementarias: conversatorios y talleres.</t>
  </si>
  <si>
    <t>Actas de reunión de la OFINV</t>
  </si>
  <si>
    <t>Ya se definió el lugar para el desarrollo del evento y se empezaron a desarrollar los documentos técnicos.</t>
  </si>
  <si>
    <t>Estudio de mercado</t>
  </si>
  <si>
    <t>Un proyecto de la oficina fue aceptado para publicación en una revista indexada y otros 15 se encuentran en desarrollo</t>
  </si>
  <si>
    <t>actas de reunión de la OFINV</t>
  </si>
  <si>
    <t>Autodiagnostico: \\icfesserv5\planeacion$\2018\GESTION Y DESEMPEÑO\MIPG II\DIMENSIONES\6. Gestión del Conocimiento y la innovación</t>
  </si>
  <si>
    <t xml:space="preserve">Para el primer trimestre del año 2018, en el plan de compras con corte a 31 de marzo se programó la ejecución de 405 requerimientos, de los cuales 328 requerimientos fueron contratados; así las cosas, se ejecutó un 81% de las líneas proyectadas. El plan de compras de la vigencia fiscal 2018, obtuvo una apropiación final de $84.928.689.633. </t>
  </si>
  <si>
    <t>Informes de ejecución presupuestal Subdirección Financiera y Contable</t>
  </si>
  <si>
    <t>Para el primer trimestre del año 2018, se realizó la campaña "Socialización de Indicadores del Subproceso Gestión Ambiental", usando la herramienta de correo electrónico y boletín interno.
Respecto a la Semana Ambiental, se ha  establecido contacto con entidades aliadas para su desarrollo como lo son: Jardín botánico, Secretaria Distrital de Ambiente, CAR, Ministerio de Ambiente.</t>
  </si>
  <si>
    <t>Archivo de gestión Subproceso Gestión Ambiental.</t>
  </si>
  <si>
    <t>De 328 contratos celebrados por la entidad, se encuentran registrados en la misma cantidad en la plataforma SECOP II, estableciendo así un cumplimiento del 100%</t>
  </si>
  <si>
    <t>https://community.secop.gov.co/Public/Tendering/ContractNoticeManagement/Index?SkinName=CCE%C2%A4tLanguage=es-CO&amp;Page=login&amp;Country=CO</t>
  </si>
  <si>
    <t xml:space="preserve">La gestión realizada en SIGEP para el primer trimestre del año 2018 se presenta de la siguiente manera:
De un total de 328 contratos suscritos con personas naturales y jurídicas, 291 corresponden a personas naturales.  
De los cuales se ha dado de alta en SIGEP 291, cumpliendo así un 100%. Se han dado de baja 4 contratos por terminación anticipada y se han registrado 6 cesiones de contratos. </t>
  </si>
  <si>
    <t>https://servidorpublico.sigep.gov.co/sse_generico/espanol/generico_login.jsp?estado=3</t>
  </si>
  <si>
    <t>Como parte del desarrollo del objeto contractual 257 del 2017, se estableció un plan de trabajo para la actualización de los componentes de la Gestión Documental, el cual esta compuesto por actividades  a corto, mediano y largo plazo.</t>
  </si>
  <si>
    <t>Expediente contractual 257_2017</t>
  </si>
  <si>
    <t>Expediente contractual 257_2018</t>
  </si>
  <si>
    <t>TRD y CCD (Se realizó sustentación de las TRD ante el Pre comité Evaluador de documentos del AGN. Se realizaron los ajustes requeridos en sustentación, pendientes de asignación de fecha para concluir próxima instancia de aprobación).
Actualmente se han desarrollado los siguientes instrumentos archivísticos:
Política de Gestión Documental, PGD (Programa de Gestión Documental, en proceso de aprobación), Diagnostico de la Gestión Documental, PINAR (Plan Institucional de Archivos, en proceso de aprobación), Mapa de Riesgos de la Gestión Documental, Reglamento Interno de Archivos ( en proceso de aprobación)
Procedimientos SGD en proceso de elaboración:  Procedimiento de Planeación Documental G4-PR009, procedimiento de Producción Documental G4-PR010, procedimiento de Gestión y Trámite G4-PR011, Procedimiento de Organización Documental G4-PR012, Procedimiento de Transferencias Documentales Primarias G4-PR013, Procedimiento de Transferencias Documentales Secundarias G4-PR014, Procedimiento de Disposición de Documentos G4-PR015.</t>
  </si>
  <si>
    <t>Con base en lo programado en el anteproyecto de presupuesto para 2018, se obtuvieron los costos de las etapas de la cadena de valor para cada una de las áreas misionales del Instituto</t>
  </si>
  <si>
    <t>Plantillas diligenciadas por las áreas misonales</t>
  </si>
  <si>
    <t>En el mes de enero del 2018 se generó el PETI V3.0 y actualmente la Dirección de Tecnología e información se encuentra trabajando en el PETI V4.0 incluyendo actualizaciones relacionadas con Estrategia de TI y Gobierno de TI</t>
  </si>
  <si>
    <t>www.icfes.gov.co/docman/institucional/transparencia/...gestión...petic/file</t>
  </si>
  <si>
    <t>La Dirección de Tecnología e Información se encuentra definiendo  los indicadores que permiten medir la implementación de la estrategia de TI contemplando lo establecido en el PETI.</t>
  </si>
  <si>
    <t>https://docs.google.com/spreadsheets/d/17bHrpQggWoBIkA5oWivLGtNRvaxSFSeLZyv8Jmddb0Y/edit#gid=335749535</t>
  </si>
  <si>
    <t>La Dirección de Tecnología e Información hace seguimiento a la ejecución de los proyectos de TI a través de comités periódicos y herramientas especializadas</t>
  </si>
  <si>
    <t>En la ubicación \\icfesserv5\dirtecnol$\GENERAL-TECNOLOGIA\Comité Tecnología se encuentra los informes de seguimiento de los proyectos presentados por cada uno de los responsables. Las observaciones realizadas por la Dirección, se encuentran en las actas de reunión respectivas, que se encuentra en la misma ruta.</t>
  </si>
  <si>
    <t>•Se realizó un autodiagnostico sobre la dimension de gestion del conocimiento, para tener una linea base sobre la situacion actual del Icfes en este tema.
•La Dirección de Tecnología e Información revisará en conjunto con la Unidad de Atención al Ciudadano, la Oficina Asesora de Planeación,  la Subdirección de Abastecimiento y Servicios Generales, el apoyo requerido por parte de esta Dirección a fin de adelantar las actividades requeridas para realizar el diagnóstico a nivel interno de la entidad de la capacidad en recursos humanos, físicos y tecnológicos en función de la prestación del servicio (trámites y servicios)</t>
  </si>
  <si>
    <t>Para el primer trimestre del año la Dirección de Tecnología e Información no ha llevado a cabo el desarrollo de pruebas electrónicas, se está trabajando en la mejora de la plataforma de presentación de exámenes del Icfes y en la preparación de las pruebas Avancemos 4°, 6°y 8° a realizarse en el segundo trimestre del año</t>
  </si>
  <si>
    <t>Citación invitación taller de sensibilización</t>
  </si>
  <si>
    <t>La Dirección de Tecnología e Información elaboró y publicó a 31 de enero de 2018 en el sitio web del Instituto, el documento LI.ST.10 Plan de Mantenimiento de Servicios Tecnológicos en la ruta www.icfes.gov.co/transparencia y acceso a la información publica/6. Planeación/Políticas, lineamientos y manuales/Modelo Integrado de Planeación y Gestión II/9. Plan de Mantenimiento de Servicios Tecnológicos.</t>
  </si>
  <si>
    <t>http://www.icfes.gov.co/docman/institucional/transparencia/planeacion-gestion-y-control/modelo-integrado-de-planeacion-y-gestion-ii/4972-9-plan-de-mantenimiento-de-servicios-tecnologicos/file?force-download=1</t>
  </si>
  <si>
    <t>1. Se esta generando un nuevo instrumento de evaluación y medición que contemple los temas de Ciberseguridad, Modelo de Seguridad y Privacidad de la Información (MSPI), y Modelo Integrado de Planeación y Gestión (MIPG).
2. El seguimiento a la medición del cumplimiento e implementación de los controles esta previsto para el segundo trimestre.</t>
  </si>
  <si>
    <t xml:space="preserve">1. El marco del dominio de Controles Criptográficos, como acciones de apropiación del tema, se generaron  los videos de llaves de cifrado y se citó a toda la Entidad para uso y apropiación del tema. 
2. En lo referente al dominio de Operación Segura, se llevó a cabo el afinamiento de reglas en la herramienta dispuesta para la prevención de fuga de información (DLP, por sus siglas en inglés, Data Lost Prevention).
3. En el dominio de Continuidad en Seguridad,  se realizó la configuración y lanzamiento de la herramienta Password Manager para brindar continuidad a la seguridad de las credenciales.
4. Respecto al dominio de Operación Segura:
    a. Para el control de Gestión de Usuarios Privilegiados que hace parte del dominio de Operación Segura, se configuró la política de gestión de contraseñas en la herramienta Password Manager.
   b. Se viene adelantado la revisión de los 16 procedimientos operativos asociados a los 5 subprocesos que hacen parte del proceso de Gestión de Tecnología e Información, para definir los puntos de control de seguridad que se deben contemplar en los mismos.
   c.  Se viene adelantado la construcción de una guía de seguridad en proyectos que contempla las recomendaciones que sobre temas de seguridad se deben tener en cuenta en la ejecución de un proyecto.
</t>
  </si>
  <si>
    <t>1. Se realizaron dos reuniones con Subdirector de Información, Jefe de la Oficina Asesora de Planeación o su delegado, Arquitecto de TI,  Arquitecto de Datos,  Líder de BI, Líder de Seguridad de Información y Líder de Gobierno de datos) los días 15 de diciembre del 2017 y 22 de enero de 2018, con el objetivo de  presentar el modelo de gestión y gobierno de datos que se va a implementar en el Icfes y avanzar en la formalización del Comité.
2. A nivel del Dirección de Tecnología de la Información y del Comité Directivo de la Entidad, se realizó la presentación del modelo de gestión y gobierno de datos.</t>
  </si>
  <si>
    <t>De acuerdo con el plan de trabajo,  esta es una tarea que se inicia en el segundo trimestre del año, tomando como base lo   realizado el año pasado en lo que respecta con:
*  Definición de los diez(10) principios que forman parte del modelo de gestión y gobierno de datos
*  Enunciado de las seis(6) políticas que se deben considerar dentro del ciclo de vida de los datos</t>
  </si>
  <si>
    <t>De acuerdo con el plan de trabajo, esta es una tarea que se inicia en el segundo trimestre del año., tomando como base  la definición de un proceso de gobierno de datos que enmarca varios procedimientos asociados con su respectivo objetivo, generado el año pasado.</t>
  </si>
  <si>
    <t>De acuerdo con el plan de trabajo, esta es una tarea que se inicia en el segundo trimestre del año., tomando como base el trabajo realizado el año pasado en relación con  la definición y aplicación de seis(6) indicadores y métricas para el monitoreo y control del cumplimiento del modelo y las políticas.</t>
  </si>
  <si>
    <t>Se revisará las aplicaciones de Icfes Interactivo ( Saber 359,) y basados en la  declaración de conformidad de cada una de las revisiones se realizará el plan de correcciones para las mismas</t>
  </si>
  <si>
    <t>Se definirá con el proveedor encargado del desarrollo del portal las actividades necesarias para la implementación de lineamientos de accesibilidad. Por tratarse de un nuevo portal las evaluaciones manuales y automáticas se realizarán una vez se ponga en ambiente de pruebas el sitio.</t>
  </si>
  <si>
    <t>Se desarrollará un plan de trabajo en el que se tengan en cuenta las evidencias de la actividad anterior con el fin de corregir los errores encontrados en el portal Icfes interactivo. Se debe realizar la declaración de conformidad para definir actividades de ajustes para el portal.</t>
  </si>
  <si>
    <t>Se definirá con el proveedor del servicio las actividades a desarrollar para atender las eventuales correcciones que surjan luego del proceso de implementación y puesta en producción de la solución</t>
  </si>
  <si>
    <t>Se realizó el análisis del plan estratégico del Icfes y del sector y los tuvo en cuenta el definición de la Estrategia de TI que se incluyó en la versión del PETI al 31 de enero de 2018.</t>
  </si>
  <si>
    <t>Se cuenta con una estructura organizacional de la Dirección de Tecnología e Información (Dirección y Subdirecciones) que se incluyó en la versión del PETI de 31 de enero. Actualmente se está trabajando en la estructura funcional de la Dirección de Tecnología e Información que será incluida en una nueva versión del PETI.</t>
  </si>
  <si>
    <t>Se avanzó en la definición de la estructura del catalogo de componentes de información, apoyada en cada uno de los proyectos de TI  parametrizando su contenido en la herramienta de Arquitectura Empresarial</t>
  </si>
  <si>
    <t>https://icfes.smart360.biz/smartea/login.do;jsessionid=42F99D0D9DD54DA03ECEF34A2B968ED1</t>
  </si>
  <si>
    <t>Se avanza en la actualización del catálogo de sistemas de información que se encuentra parametrizado en la herramienta de arquitectura empresarial</t>
  </si>
  <si>
    <t>Se definió la primera versión de la estrategia de uso y apropiación y se incluyó en el PETI al 31 de enero de 2018.</t>
  </si>
  <si>
    <t>Se avanza en la definición del alcance de la arquitectura de información del Icfes y se caracterizaron las entidades de negocio de los procesos misionales en la herramienta de Arquitectura Empresarial</t>
  </si>
  <si>
    <t xml:space="preserve">https://icfes.smart360.biz/smartea/login.do;jsessionid=42F99D0D9DD54DA03ECEF34A2B968ED1
</t>
  </si>
  <si>
    <t>1. 233 historias de usuario en definición para los módulos de Instrumentos de Evaluación, Armado, Inscripción y Recaudo, Gestión, Aprovisionamiento, Citación, Informe de aplicación, Análisis de ítems, Resultados, SSO y Calificación
2. Se inicio la definición del requerimiento para TALIS
3. Se inicio definición del requerimiento para reportes de resultados de evaluación formativa</t>
  </si>
  <si>
    <t>- El seguimiento de las historias de usuario se encuentra en la herramienta establecida por la Subdirección de Desarrollo de Aplicaciones.
- http://www2.icfesinteractivo.gov.co/icescrum/p/PROJ2#project</t>
  </si>
  <si>
    <t xml:space="preserve">1. 4 Sprints planeados para los módulos de Instrumentos de Evaluación, Armado, Inscripción y Recaudo, Informe de aplicación, Análisis de ítems.
2. Se inicio la definición del requerimiento para TALIS
3. Se inicio la definición del requerimiento para reportes de resultados de evaluación formativa
</t>
  </si>
  <si>
    <t>1. 22 historias de usuario en construcción para los módulos de Instrumentos de Evaluación, Armado, Inscripción y Recaudo, Informe de aplicación, Análisis de ítems.
2. Se escribieron y trabajaron 29 historias de usuario las cuales sirvieron de insumo para la puesta en producción de los módulos de Instrumentos de Evaluación, Armado, Gestión, Informe de aplicación, Análisis de ítems.</t>
  </si>
  <si>
    <t>- http://www2.icfesinteractivo.gov.co/icescrum/p/PROJ2#project
- El código del proyecto se encuentra en el repositorio de la Dirección de Tecnología e Información. (http://192.168.147.76/svn/misional/ - PRIVADO)
- El seguimiento a las actividades del proyecto se encuentra en los distintos aplicativos establecidos por la Dirección de Tecnología e Información.</t>
  </si>
  <si>
    <t>1. Se escribieron y trabajaron 76 historias de usuario las cuales fueron insumo para la puesta en producción de los módulos de Instrumentos de Evaluación, Inscripción y Recaudo, Gestión.
2. Se realizó el recaudo de Saber 11, PreSaber y Validantes Saber 11 de calendario B ($6.609.659.500)
3. Se realizó el registro de Saber 11(64.646 inscritos), PreSaber(22.173 inscritos) y Validantes(5.675 inscritos) Saber 11 de calendario B
4. Se realizó la gestión de UAC para Saber 11, PreSaber y Validantes Saber 11 de calendario B
5. Se realizó el aprovisionamiento para la Aplicación de Saber 11 Calendario B (92.494 inscritos)
6. Se realizó la citación para la Aplicación de Saber 11 Calendario B(92.494 inscritos)
7. Se realizó el registro de Saber 11(6.525 inscritos) y Validantes(684 inscritos) Saber 11 de calendario B extemporáneo
8. Se realizó la gestión de UAC para Saber 11, PreSaber y Validantes Saber 11 de calendario B extemporáneo
9. Se realizó el aprovisionamiento para la Aplicación de Saber 11 Calendario B extemporáneo (7.209 inscritos)
10. Se realizó la citación para la Aplicación de Saber 11 Calendario B extemporáneo (7.209 inscritos)
11. Se realizó la publicación de los resultados individuales para Saber PRO (250.268 inscritos)
12. Se realizó la publicación de los resultados individuales para Saber TyT (84.369)
13. Se realizó la publicación de los resultados individuales para Saber 359 (3° - 768.661, 5° - 784.701 9° - 595.960)
14. Se realizó la publicación de los resultados históricos de Saber PRO y Saber TyT (reporte para instituciones, sede y programa académico)
15. Se realizó el informe de delegado para Calendario B (185 nombramientos y  185 reportes diligenciados)
16. Se realizó el recaudo de Saber TyT ($3.780.131.000)
17. Se realizó el registro de Saber TyT(83.992 inscritos)
18. Se realizó la gestión de UAC para Saber TyT
19. Se inicia el proceso de inscripción para Avancemos 4, 6, 8 (Evaluación formativa)</t>
  </si>
  <si>
    <t>- Aplicativo PRISMA desplegado en producción
- http://www2.icfesinteractivo.gov.co/prisma-web/
- Las cifras se sacan del sistema de información de la Dirección de Tecnología e Información para los distintos procesos de aplicación de las pruebas del icfes. (SISTEMA PRIVADO)
- Demás documentos del proyecto se encuentra en el repositorio de información establecido por la Subdirección de Desarrollo de Aplicaciones.
(http://192.168.147.76/svn/misional/ - PRIVADO)</t>
  </si>
  <si>
    <t>1. Se realizaron videos de funcionalidad para evaluación formativa
2. Se llevaron a cabo capacitaciones de informe de delegado</t>
  </si>
  <si>
    <t>- Repositorio proyecto de la Subdirección de Desarrollo de Aplicaciones (http://192.168.147.76/svn/misional/ - PRIVADO)
- Videos Informe Delegado http://www.icfesinteractivo.gov.co/manuales/P-ID/pages/index.php
- Videos Evaluación formativa https://www.youtube.com/watch?v=iz0qVpf_lpI</t>
  </si>
  <si>
    <t>Estarán definidos los lineamientos de base de datos en el mes de mayo, teniendo en cuenta el Marco de Referencia MINTIC para sistemas de información y uso de la información</t>
  </si>
  <si>
    <t>1. Se tiene implementados los servicios de:  autenticación, consulta de resultados universidades estructura 5,6, consulta de inscripción, consulta citación.
2. Se tiene planeado para siguiente trimestre la implementación de servicios en el nuevo bus: autenticación, consulta resultado individual, consulta inscripción.</t>
  </si>
  <si>
    <t xml:space="preserve">
https://www.icfesinteractivo.gov.co/interoperabilidad-web/rest/autenticacion/correo
https://www.icfesinteractivo.gov.co/interoperabilidad-web/rest/autenticacion/documento
https://www.icfesinteractivo.gov.co/interoperabilidad-web/rest/prisma/resultados/universidades
https://www.icfesinteractivo.gov.co/interoperabilidad-web/rest/prisma/citacion/reporte/{idExamen}/{idAplicacion}
https://www.icfesinteractivo.gov.co/interoperabilidad-web/rest/prisma/inscripcion/estado</t>
  </si>
  <si>
    <t>•No se tienen activiades programadas para este trimestre. 
•La Dirección de Tecnología e Información revisará en conjunto con la Subdirección de Talento Humano y la Oficina Asesora de Planeación, el apoyo requerido por parte de esta Dirección a fin de adelantar las actividades requeridas para el desarrollo de la estrategia de aprendizaje organizacional en el Instituto para la implementación de la dimensión de gestión del conocimiento del Modelo Integrado de Planeación y Gestión.</t>
  </si>
  <si>
    <t>Teniendo en cuenta que todas las actividades de la Oficina de Control Interno se encuentran contenidas en el Plan Anual de Auditoría y que éste se elaborócon base en los Roles establecidos en el Decreto 648 de 2017, en el desarrollo de las actividades de "Evaluación de Gestión del Riesgo", se puede evidenciar que ésta actividad se realizará de manera coordinada con la Oficina Asesora de Planeación  a partir del mes de Abril de 2018. Se solicitará modificación de los índices y fecha de ejecución para que sean acordes con el Plan Anual de Auditoría.</t>
  </si>
  <si>
    <t xml:space="preserve">Realizar el autodiagnóstico del MIPG V2 para la entidad y elaborar el plan de trabajo pàra fortalecer las políticas de gestión y desempeño institucional y el cumplimiento de requisitos </t>
  </si>
  <si>
    <t>No se tienen actividades programadas para este trimestre.</t>
  </si>
  <si>
    <t>Se realizó validación de los autodignósticos del MIPG y se generaron 2 herramientas para las políticas de gestión del conocimiento y fortalecimiento instituciones.</t>
  </si>
  <si>
    <t>Se generó excel para consolidar las acciones institucionales "Plan de acción institucional", que permite evidenciar el seguimiento trimestral.</t>
  </si>
  <si>
    <t>El presente archivo excel</t>
  </si>
  <si>
    <t>Se encuentran en la carpeta compartida:
\\icfesserv5\planeacion$\2018\GESTION Y DESEMPEÑO\MIPG II\REVISIÓN DIAGNÓSTICO PLANEACIÓN\Autodiagnósticos validados</t>
  </si>
  <si>
    <t>Se realiza seguimiento trimestral a las acciones estipuladas en el plan de acción institucional. Estos resultados se presentarán ante comité directivo para toma de decisiones</t>
  </si>
  <si>
    <t>Se iniciaron las mesas de trabajo con el DNP el día 13 de marzo, se solicitó usuario y contraseña para el acceso al SPI.</t>
  </si>
  <si>
    <t xml:space="preserve">Desarrollo en oportunidad inmediatez celeridad y eficacia en los procedimientos regulados en la Ley y que corresponden a los temas descritos </t>
  </si>
  <si>
    <t xml:space="preserve">Página Web: Normatividad 
Cobro coactivo: Resolución 135 de 2016  
Ekogui -Proceso nuevo como Demandante Edificio Ángel  y otros 11001310303620180012000 y como Demandado Paola Andrea Suarez Cervera y otros  73001333300320170033900
</t>
  </si>
  <si>
    <t>Se formuló y se presentó en el primer grupo gestor de planeación y calidad</t>
  </si>
  <si>
    <t>\\icfesserv5\planeacion$\2018\GESTION Y DESEMPEÑO</t>
  </si>
  <si>
    <t>Se formuló, construyó y se puso a disposición de la ciudadanía, se encuentra publicado en el link de transparencia de la entidad.</t>
  </si>
  <si>
    <t>Se formuló y divulgo la estrategia, y se realizó el primer el comité de rendición de cuentas el05 de marzo de 2018</t>
  </si>
  <si>
    <t>Esta actividad se desarrolla de manera permanente en cada una de las labores de Aseguramiento y Consultoría que realiza la Oficina de Control Interno, a través de la ejecución del Plan Anual de Auditoría.</t>
  </si>
  <si>
    <t>Se elaboró el Plan para la Gestión de Riesgo de 2018.</t>
  </si>
  <si>
    <t>Encuesta:
# de respuestas "Totalmente de acuerdo"/ # de respuestas "Totalmente de acuerdo" y "De acuerdo"</t>
  </si>
  <si>
    <t>Agenda interna de Investigación:
% de avance en la agenda interna de investigación</t>
  </si>
  <si>
    <t xml:space="preserve">Peso del Indicador dentro del Programa </t>
  </si>
  <si>
    <t>Archivos institucionales</t>
  </si>
  <si>
    <t>Archivos Institucionales</t>
  </si>
  <si>
    <t>Plan para la gestión del riesgo</t>
  </si>
  <si>
    <t>n.a</t>
  </si>
  <si>
    <t>&gt;80%</t>
  </si>
  <si>
    <t># de Componentes ejecutados del Plan Estratégico de Talento Humano
_________________________________ x 100
Total de componentes del Plan Estratégico de Talento Humano</t>
  </si>
  <si>
    <t xml:space="preserve">Total de personas diagnosticadas en los componentes del PETH, referencia Matriz GETH
________________________________ x 100
Total de la población de la Entidad </t>
  </si>
  <si>
    <t># Actividades ejecutadas del Plan de SGSST
_________________________________ x 100
Total de actividades del Plan SGSST</t>
  </si>
  <si>
    <t>#  Actividades de vinculo laboral ejecutadas oportunamente
_________________________________ x 100
Total de actividades relacionadas con el vinculo laboral</t>
  </si>
  <si>
    <t># Actividades para fortalecer el ambiente laboral y la cultura organizacional de la entidad, ejecutadas oportunamente
_________________________________ x 100
Total de actividades relacionadas con fortalecimiento del ambiente laboral y la cultura organizacional de la entidad</t>
  </si>
  <si>
    <t>Plan de trabajo para la implementación del Código de Integridad elaborado</t>
  </si>
  <si>
    <t xml:space="preserve"> # Actividades de los  planes asociados al  fortalecimiento y desarrollo del talento humano de la entidad ejecutadas oportunamente
_________________________________ x 100
Total de actividades de los  planes asociados al  fortalecimiento y desarrollo del talento humano de la entidad</t>
  </si>
  <si>
    <t>%
de avance de la actividad</t>
  </si>
  <si>
    <t># de actividades ejecutadas oportunamente en el Plan de Acción Institucional
_________________________________ x 100
Total actividades en el Plan de Acción Institucional</t>
  </si>
  <si>
    <t>Iniciativa para fomentar la cultura de la educación en derechos humanos, paz y derecho humanitario elaborada</t>
  </si>
  <si>
    <t xml:space="preserve">Realizar un diagnóstico de capacidades y entornos institucionales. </t>
  </si>
  <si>
    <t>100% del presupuesto alineado con la planeación estratégica</t>
  </si>
  <si>
    <t># de compromisos, obligaciones y pagos realizados oportunamente
_________________________________ x 100
Total de compromisos, obligaciones y pagos establecidos en un periodo de tiempo</t>
  </si>
  <si>
    <t># de actividades ejecutadas oportunamente en el PAAC
_________________________________ x 100
Total actividades en el PAAC</t>
  </si>
  <si>
    <t># de actividades ejecutadas oportunamente en el Plan MIPG
_________________________________ x 100
Total actividades en el Plan de MIPG</t>
  </si>
  <si>
    <t>Documento Diagnóstico</t>
  </si>
  <si>
    <t># de actividades ejecutadas oportunamente en el plan de fortalecimiento institucional
_________________________________ x 100
Total actividades en el Plan de fortalecimiento institucional</t>
  </si>
  <si>
    <t>Presupuesto de la entidad ejecutado oportunamente
____________________________________ x 100
Presupuesto programado</t>
  </si>
  <si>
    <t>Encuesta de satisfacción de servicios</t>
  </si>
  <si>
    <t>Análisis de avance de la actividad y resultado del indicador</t>
  </si>
  <si>
    <t># de actividades ejecutadas oportunamente de la estrategia de seguimiento y evaluación institucional
_________________________________ x 100
Total actividades de la estrategia de seguimiento y evaluación institucional</t>
  </si>
  <si>
    <t>autodiagnóstico del MIPG V2</t>
  </si>
  <si>
    <t># de informes elaborados</t>
  </si>
  <si>
    <t># de reportes externos entregados oportunamente (SINERGIA, SPI entre otros)
_________________________________ x 100
Total de reportes externos definidos</t>
  </si>
  <si>
    <t>Informes de PQRSD publicados</t>
  </si>
  <si>
    <t># de actividades publicada oportunamente de la información institucional derivada del cumplimiento de la Ley 1712 de 2014. Decreto 103 de 2015 y Resolución 3564 de 2015
_________________________________ x 100
Total actividades  a publicar de la información institucional, derivada del cumplimiento de la Ley 1712 de 2014. Decreto 103 de 2015 y Resolución 3564 de 2015</t>
  </si>
  <si>
    <t>iniciativa de innovación abierta implementada</t>
  </si>
  <si>
    <t>Plan de trabajo elaborado y publicado</t>
  </si>
  <si>
    <t># de actividades ejecutadas oportunamente registradas y reporte de novedades y Hojas de vida vinculadas en el SIGEP
_________________________________ x 100
Total actividades a registro y reporte de novedades y Hojas de vida vinculadas en el SIGEP</t>
  </si>
  <si>
    <t># de actividades ejecutadas oportunamente del plan de trabajo
_________________________________ x 100
Total actividades del plan de trabajo</t>
  </si>
  <si>
    <t>Documento con la metodología o procedimiento(s) y la estrategia elaborado</t>
  </si>
  <si>
    <t>Hacer seguimiento al plan de trabajo para la gestión del riesgo en la entidad</t>
  </si>
  <si>
    <t xml:space="preserve">Realizar seguimiento al cumplimiento y efectividad de las acciones de mejoramiento generadas en las diferentes fuentes de evaluación.
</t>
  </si>
  <si>
    <t># de actividades ejecutadas oportunamente en el plan de trabajo
_________________________________ x 100
Total actividades definidas en el plan de trabajo</t>
  </si>
  <si>
    <t xml:space="preserve">Lidera: OAP
Apoya: STH - DTI -
</t>
  </si>
  <si>
    <t>Valor de las variables y resultado del indicador de actividad</t>
  </si>
  <si>
    <t xml:space="preserve"> Lidera: OAP
Apoya:OACyM</t>
  </si>
  <si>
    <t>Lidera:OAP
Apoya:DTI-STH- SAySG</t>
  </si>
  <si>
    <t># de controles ejecutados
_______________________ x 100
Total de controles</t>
  </si>
  <si>
    <t>Finalizar las actividades necesarias para la convalidación de las TRD y CCD por parte del AGN.
Concluir la actualización de los componentes documentales, requeridos normativamente para la entidad.
Actualizar y desarrollar los procedimientos y criterios necesarios para el desarrollo de la gestión documental.</t>
  </si>
  <si>
    <t>Planeado</t>
  </si>
  <si>
    <t>Ejecutado</t>
  </si>
  <si>
    <t xml:space="preserve">Direccionamiento estratégico </t>
  </si>
  <si>
    <t xml:space="preserve">Gestión del Conocimiento </t>
  </si>
  <si>
    <t>AVANCE GLOBAL PLAN DE ACIÓN INSTITUCIONAL</t>
  </si>
  <si>
    <t>AVANCE 12 PLANES DEL MODELO INTEGRADO DE PLANEACIÓN Y GESTIÓN</t>
  </si>
  <si>
    <t>Cantidad actividades planeadas</t>
  </si>
  <si>
    <t>Cantidad actividades ejecutadas</t>
  </si>
  <si>
    <t>RESULTADO GLOBAL</t>
  </si>
  <si>
    <t>Cumplimiento</t>
  </si>
  <si>
    <t>(Subpruebas adaptadas/Total de Subpruebas)*100%</t>
  </si>
  <si>
    <t>(Pruebas monitoreadas/ Total de pruebas a monitorear)*100%</t>
  </si>
  <si>
    <t>Fórmula medición del indicador de actividad</t>
  </si>
  <si>
    <t>Plan Estratégico de Talento Humano Fórmulado</t>
  </si>
  <si>
    <t>Fórmulación y adopción del Código de integridad para ICFES.</t>
  </si>
  <si>
    <t xml:space="preserve">Fórmular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-PAA. </t>
  </si>
  <si>
    <t>Fórmular y ejecutar el Plan Anticorrupción y de Atención al Ciudadano</t>
  </si>
  <si>
    <t>Fórmular y ejecutar el Plan Estratégico de Tecnologías de la Información</t>
  </si>
  <si>
    <t>Fórmular y ejecutar el Plan Anual de Adquisiciones (PAA)</t>
  </si>
  <si>
    <t>Fórmular y ejecutar el  Plan de actualización del Modelo Integrado de Planeación y Gestión - MIPG</t>
  </si>
  <si>
    <t>Caracterización Fórmulada o actualizada</t>
  </si>
  <si>
    <t>Fórmular o actualizar la caracterización de ciudadanos, usuarios o grupos de interés con los cuales interactúa la entidad, con el fin de fortalecer la atención de sus necesidades, trámites y procesos.</t>
  </si>
  <si>
    <t>Caracterización de ciudadanos, usuarios o grupos de interés Fórmulada o actualizada</t>
  </si>
  <si>
    <t>Fórmular el presupuesto armonizando  la planeación estratégica y la programación presupuestal para la toma de decisiones.</t>
  </si>
  <si>
    <t xml:space="preserve">La Fórmulación presupuestal para la próxima vigencia se elabora entre el segundo y tercer trimestre de la vigencia en curso.
</t>
  </si>
  <si>
    <t>Fórmular o ajustar el 100% de los proyectos de inversión de  la Entidad Adscrita y/o Vinculada  a la estructura de cadena de valor de los programas presupuestales 2019</t>
  </si>
  <si>
    <t>Fórmular o ajustar el 100% de los proyectos de inversión de  la Entidad Adscrita y/o Vinculada  a la estructura de cadena de valor de los programas presupuestales 2020</t>
  </si>
  <si>
    <t># de proyectos de inversión Fórmulados o ajustados a la estructura de cadena de valor de los programas presupuestales 2019
________________________________ x 100
Total de proyectos de inversión</t>
  </si>
  <si>
    <t>La Fórmulación presupuestal para la próxima vigencia se elabora entre el segundo y tercer trimestre de la vigencia en curso</t>
  </si>
  <si>
    <t>Fórmular el plan de fortalecimiento institucional para el Sistema de Gestión de la entidad y hacer seguimiento trimestral a los avances del mismo.</t>
  </si>
  <si>
    <t>Fórmular y ejecutar Plan para la implementación de la Política de Gobierno Digital para la entidad en función de los lineamiento de Min Tic.</t>
  </si>
  <si>
    <t>Fórmular y ejecutar el plan para la implementación de la política de Gobierno Digital (MIPG)  en el Instituto, teniendo en cuenta las directrices establecidas en el Manual de Gobierno en Línea del MINTIC.</t>
  </si>
  <si>
    <t>Teniendo en cuenta la próxima de expedición de la normatividad (Cambio del Decreto 1078 del 2015:  Lineamientos generales de la Estrategia de Gobierno en Línea) que regulará  la implementación de la Política de Gobierno Digital (Antes Estrategia Gobierno en Línea),  la Dirección de Tecnología e Información asistirá a la capacitación programada el 10 de abril de 2018 por el Ministerio de Tecnologías de la Información y las Comunicaciones - MINTIC para el Sector Educación, con el fin de recibir orientación y acompañamiento en la Fórmulación de acciones y actividades para la implementación de la política de Gobierno Digital en el Instituto.</t>
  </si>
  <si>
    <t>Fórmular y hacer seguimiento al Plan d e Seguiridad y Privacidad de la Información.</t>
  </si>
  <si>
    <t>Fórmular y hacer seguimiento al Plan d eTratamiento de Riesgos de Seguiridad y Privacidad de la Información.</t>
  </si>
  <si>
    <t>Fórmular y ejecutar Plan de trabajo para dar cumplimiento a los requisitos de seguridad digital para la entidad en función de los lineamiento de Min Tic para el efecto.</t>
  </si>
  <si>
    <t>Fórmular y ejecutar el plan para la implementación de la política de Seguridad Digital (MIPG)  en el Instituto, teniendo en cuenta las directrices establecidas en el Manual de Gobierno en Línea del MINTIC y en el documento CONPES 3854 de 2016.</t>
  </si>
  <si>
    <t>Fórmular y ejecutar Plan de Mantenimiento de Servicios Tecnológicos</t>
  </si>
  <si>
    <t># de actividades Fórmuladas y ejecutadas oportunamente en el Plan de trabajo para la defensa jurídica del Estado
_________________________________ x 100
Total actividades en el Plan de trabajo para la defensa jurídica del Estado</t>
  </si>
  <si>
    <t xml:space="preserve">Fórmular y ejecutar el plan de trabajo con los componentes definidos en el numeral 3.2.3.3. del Manual Operativo Sistema de Gestión Mipg para el desarrollo de actividades de gestión ambiental de la entidad.  </t>
  </si>
  <si>
    <t>Fórmular y monitorear el plan de racionalización de trámites</t>
  </si>
  <si>
    <t># de actividades Fórmuladas y ejecutadas oportunamente en el plan de racionalización de trámites
_________________________________ x 100
Total actividades en el plan de racionalización de trámites</t>
  </si>
  <si>
    <t># de actividades Fórmuladas y ejecutadas de la Estrategia de participación ciudadana
_________________________________ x 100
Total actividades de la Estrategia de participación ciudadana</t>
  </si>
  <si>
    <t># de actividades Fórmuladas y ejecutadas de la Estrategia de rendición de cuentas
_________________________________ x 100
Total actividades de la Estrategia de de rendición de cuentas</t>
  </si>
  <si>
    <t># de actividades Fórmuladas y ejecutadas del  plan de trabajo para fortalecer la constitución de alianzas orientadas al fortalecimiento de los fines Misionales de la entidad
_________________________________ x 100
Total actividades del  plan de trabajo para fortalecer la constitución de alianzas orientadas al fortalecimiento de los fines Misionales de la entidad</t>
  </si>
  <si>
    <t>La Dirección de Tecnología e Información revisará en conjunto con la Subdirección de Análisis y Divulgación y la Oficina Asesora de Planeación, el apoyo requerido por parte de esta Dirección a fin de adelantar las actividades requeridas para la Fórmulación de iniciativas de innovación abierta, incluyendo la participación en un equipo conformado por otras áreas: la Dirección de Evaluación, Dirección de Producción y Operaciones, Secretaria General y la Oficina Asesora de Planeación y la Oficina Asesora de Comunicaciones y Mercadeo, como un equipo de Innovación abierta.</t>
  </si>
  <si>
    <t xml:space="preserve">Fórmular, ejecutar y hacer seguimiento al  plan de accesibilidad para la vigencia. </t>
  </si>
  <si>
    <t>Fórmular y ejecutar los Planes de trabajo para el fortalecimiento y cumplimiento de requisitos normativos del  Sistema de gestión documental, acorde con las directrices del Archivo General de la Nación.</t>
  </si>
  <si>
    <t>•Actividades adelantadas con el Grupo Gestor de Desempeño Insittucional, liderado por la Oficina Asesora de Planeación.
•La Dirección de Tecnología e Información revisará en conjunto con la Subdirección de Talento Humano y la Oficina Asesora de Planeación, el apoyo requerido por parte de esta Dirección a fin de adelantar las actividades requeridas para la Fórmulación de la metodología / procedimiento(s) y la estrategia para el Instituto para la implementación de la dimensión de gestión del conocimiento del Modelo Integrado de Planeación y Gestión.</t>
  </si>
  <si>
    <t xml:space="preserve">Fórmular y Desarrollar una estrategia para fortalecer la cultura del autocontrol y  la autoevaluación en la entidad
</t>
  </si>
  <si>
    <t xml:space="preserve"> Fórmular y desarrollar un plan de trabajo para la gestión del riesgo de la entidad</t>
  </si>
  <si>
    <t>Fórmular y desarrollar el Programa Anual de Auditoria para evaluar la gestión institucional.</t>
  </si>
  <si>
    <t xml:space="preserve">PINAR elaborado y publicado </t>
  </si>
  <si>
    <t>Porcentaje de ejecución del PINAR</t>
  </si>
  <si>
    <t>Publicación del Plan de Comunicaciones</t>
  </si>
  <si>
    <t>N° de exámenes aplicados/ N° de exámenes programados *100</t>
  </si>
  <si>
    <t># de jornadas de divulgación en las regiones</t>
  </si>
  <si>
    <t># de conferencistas confirmados</t>
  </si>
  <si>
    <t>Aplicaciones de las pruebas de Estado calificadas por metdología 3PL/Aplicaciones de las pruebas de Estado realizadas por el ICFES</t>
  </si>
  <si>
    <t>1. Porcentaje de calidad y oportunidad de las bases de datos de asignación de puntajes  semestral. 2. Porcentaje de calidad y oportunidad de los Manuales de Procesamiento  semestral.</t>
  </si>
  <si>
    <t>Actividades de procesamiento estadístico realizadas en Saber PRO y Saber TyT/actividades de procesamiento estadístico definidas por cronograma en Saber PRO y Saber TyT, a cargo de la SE</t>
  </si>
  <si>
    <t>Actividades de generación de insumos para Saber PRO y Saber TyT/actividades de generación de insumos para definidas por cronograma en Saber PRO y Saber TyT, a cargo de la SE</t>
  </si>
  <si>
    <t>Actividades de procesamiento estadístico realizadas en Saber 359/actividades de procesamiento estadístico definidas por cronograma en Saber 359, a cargo de la SE</t>
  </si>
  <si>
    <t>Actividades de procesamiento estadístico realizadas en otras pruebas/actividades de procesamiento estadístico definidas por cronograma en otras pruebas, a cargo de la SE</t>
  </si>
  <si>
    <t>Actividades de procesamiento estadístico realizadas en Saber 11, PreSaber y Validantes/actividades de procesamiento estadístico definidas por cronograma en Saber 11, PreSaber y Validantes, a cargo de la SE</t>
  </si>
  <si>
    <t>(Actividades realizadas / Actividades planeadas ) X100</t>
  </si>
  <si>
    <t>Avance en la implementación del proyecto de gestión  del conocimiento en PRISMA</t>
  </si>
  <si>
    <t>(Guías actualizadas / Total de guías requeridas por aplicación) X100</t>
  </si>
  <si>
    <t>(Marcos construidos o ajustados / Marcos proyectados para construcción o ajuste) X100</t>
  </si>
  <si>
    <t>No. de pruebas aplicadas de manera electrónica durante la vigencia 2018 / No. de pruebas planeadas a ser aplicadas de manera electrónica según cronograma para la vigencia 2018</t>
  </si>
  <si>
    <t xml:space="preserve">Lidera:DTI
Apoya:OAP-DE </t>
  </si>
  <si>
    <t>Número de controles del SGSI implementados de acuerdo con el plan de trabajo aprobado / Número de controles del SGSI planeados a ser implementados de acuerdo con el plan de trabajo aprobado</t>
  </si>
  <si>
    <t xml:space="preserve">Acto administrativo de formalización </t>
  </si>
  <si>
    <t># de actividades ejecutadas del Plan de Seguridad y Privacidad de la Información
_________________________________ x 100
Total actividades para la ejecución  del Plan de Seguridad y Privacidad de la Información</t>
  </si>
  <si>
    <t># de actividades ejecutadas del Plan  Plan de Tratamiento de Riesgos de Seguridad y Privacidad de la Información
_________________________________ x 100
Total actividades para la ejecución  del Plan de Tratamiento de Riesgos de Seguridad y Privacidad de la Información</t>
  </si>
  <si>
    <t>Lineamientos evaluados del componente de TIC para Gestión del Marco de Referencia del MINTIC / Lineamientos establecidos en el Marco de Referencia del MINTIC</t>
  </si>
  <si>
    <t>Actividades ejecutadas del Plan de trabajo del proyecto de Arquitectura Empresarial / Actividades planeadas del plan de trabajo del proyecto de Arquitectura Empresarial</t>
  </si>
  <si>
    <t xml:space="preserve">Número de módulos con historias aprobadas / Total de módulos planeados </t>
  </si>
  <si>
    <t xml:space="preserve">Número de historias estimadas / Número de historias aprobadas </t>
  </si>
  <si>
    <t>Número de sprints desarrollados / Número de sprints planeados</t>
  </si>
  <si>
    <t xml:space="preserve">Número de funcionalidades en producción / Número de funcionalidad desarrolladas </t>
  </si>
  <si>
    <t>Lineamientos y estándares para sistemas de información y uso de la información definidos / lineamientos y estándares para sistemas de información y uso de la información establecidos en el marco de referencia del MINTIC</t>
  </si>
  <si>
    <t>Servicios de integración implementados / servicios de integración planeados a ser implementados</t>
  </si>
  <si>
    <t>(# subpruebas al motor adaptativo/# total de subpruebas de la prueba adaptativa)*100%</t>
  </si>
  <si>
    <t># de actividades ejecutadas  de la estrategia para fortalecer la cultura del autocontrol y  la autoevaluación en la entidad
_____________________ x 100
Total actividades definidas en la estrategia para fortalecer la cultura del autocontrol y  la autoevaluación en la entidad</t>
  </si>
  <si>
    <t># de actividades ejecutadas del Programa Anual de Auditoria
______________________ x 100
Total actividades definidas en el Programa Anual de Auditoria</t>
  </si>
  <si>
    <t># de seguimientos realizados a las acciones de mejoramiento
___________________________ x 100
# seguimientos Planificados</t>
  </si>
  <si>
    <t>Definir los costos  promedio de cada una de las etapas que componen la cadena de valor.</t>
  </si>
  <si>
    <t>Definir los costos  promedio de cada una de las etapas  que componen la cadena de valor.</t>
  </si>
  <si>
    <t>Matriz de costos promedio para cada una de las etapas de la cadena de valor en la vigencia 2018</t>
  </si>
  <si>
    <t xml:space="preserve">Cantidad de subactividades ejecutadas*100/Cantidad de subactividades planeadas </t>
  </si>
  <si>
    <t>%IRE=(Ítems con Revisión de Estilo/Ítems programados para Revisión de Estilo)*100
%ID=(Ítems Diagramados/Ítems programados para Diagramación)*100</t>
  </si>
  <si>
    <t>%PAD=(Pruebas Armadas y Diagramadas/Pruebas programadas para Armado y Diagramación)*100</t>
  </si>
  <si>
    <t>%PCod=(Pruebas Codificadas/Pruebas programadas para Codificación)*100</t>
  </si>
  <si>
    <t xml:space="preserve">Número de documentos definidos de acuerdo con el plan de trabajo aprobado / Número de documentos previstos definir de acuerdo con el plan de trabajo aprobado </t>
  </si>
  <si>
    <t xml:space="preserve">Número de indicadores definidos de acuerdo con el plan de trabajo aprobado / Número de indicadores previstos definir de acuerdo con el plan de trabajo aprobado </t>
  </si>
  <si>
    <t># de actividades ejecutadas en el Plan para la  implementación  de la política de  seguridad digital
_________________________________ x 100
Total actividades en el Plan en el Plan para la  implementación  de la política de  seguridad digital</t>
  </si>
  <si>
    <t xml:space="preserve">Lidera: OAP
Apoya: DTI - UAC 
</t>
  </si>
  <si>
    <t># de actividades ejecutadas en el Plan para la implementación de la Política de Gobierno Digital
_________________________________ x 100
Total actividades en el Plan para la implementación de la Política de Gobierno Digital</t>
  </si>
  <si>
    <t># de actividades ejecutadas del plan de accesibilidad
_________________________________ x 100
Total actividades  planeadas en el plan de accesibilidad</t>
  </si>
  <si>
    <t xml:space="preserve">Áreas retroalimentadas / total de áreas del Instituto </t>
  </si>
  <si>
    <t>Actividades ejecutadas/actividades programadas</t>
  </si>
  <si>
    <t>Envíos realizados/ total de registros *100</t>
  </si>
  <si>
    <t>(Total de transacciones recibidas en el semestre 2018 - total de trasacciones recibidas en el semesetre 2017)/ Total de transacciones recibidas en el semestre 2018*100</t>
  </si>
  <si>
    <t>Cantidad de IE acompañadas / Cantidad de IE que reportaros problemas *100</t>
  </si>
  <si>
    <t xml:space="preserve">Número de actualizaciones </t>
  </si>
  <si>
    <t>Número de actualizaciones</t>
  </si>
  <si>
    <t>Número de seguimientos ejecutados   X100 /
Número de seguimientos planificados</t>
  </si>
  <si>
    <t>Documento del Plan estratégico de tecnologías de la información del ICFES actualizado</t>
  </si>
  <si>
    <t>Porcentaje de implementación de la estrategia de TI</t>
  </si>
  <si>
    <t>Cumplimiento de la ejecución de proyectos que hace parte del Sistema Integrado de Gestión del Instituto</t>
  </si>
  <si>
    <t>Número de mantenimientos realizados de acuerdo con el alcance definido en el Plan de mantenimiento de servicios tecnológicos / Número de mantenimientos programados de acuerdo con el alcance definido en el Plan de mantenimiento de servicios tecnológicos</t>
  </si>
  <si>
    <t>Documento modelo de negocio</t>
  </si>
  <si>
    <t>Procesos contactuales  publicados en  SECOP II
________________________ x 100
Total de procesos contractuales de la entidad</t>
  </si>
  <si>
    <t># de actividades ejecutadas oportunamente en el periodo del plan de trabajo del PGD
_____________________________ x 100
Total actividades definidas en el periodo en el plan de trabajo del PGD</t>
  </si>
  <si>
    <t xml:space="preserve"> SAySG</t>
  </si>
  <si>
    <t># de requerimientos  ejecutados oportunamente en el periodo del  PAA
________ x 100
Total de requerimientos programados en el periodo del PAA</t>
  </si>
  <si>
    <t># de actividades ejecutadas oportunamente en el periodo  del Plan de trabajo de gestión ambiental
______________________ x 100
Total actividades programadas del periodo del  Plan de trabajo de   de gestión ambiental</t>
  </si>
  <si>
    <t># de accesos creados y dados de alta a hojas de vida  en SIGEP
____________________ x 100
Total de contratos personas naturales  celebrados en el periodo.</t>
  </si>
  <si>
    <t># de accesos dados de baja a las hojas de vida en SIGEP
____________________ x 100
Total de contratos personas naturales  finalizados en el periodo..</t>
  </si>
  <si>
    <t>Realizar las capacitaciones en competencias técnicas y blandas programadas en el PIC, para garantizar equipos de trabajo competentes, motivados y comprometidos</t>
  </si>
  <si>
    <t xml:space="preserve">• Reportes históricos de Saber PRO y Saber TyT para institución, sede y programa (6 reportes): los reportes fueron creados y entregados a tecnología y ya están disponibles en la consulta de resultados.
• Publicación de reportes de resultados Saber 3,5 y 9 por estudiante: la publicación de resultados niño a niño fue el 24 de febrero con su guía de interpretación de resultados. Evidencia en la consulta de resultados a través de PRISMA.
• Diseño e implementación de divulgación sobre ICCS y su relación con Acciones y Actitudes Ciudadanas: se está implementando durante todo el año, de marzo a agosto, en el marco de las divulgaciones de Saber 11.
</t>
  </si>
  <si>
    <t xml:space="preserve">Evaluar el grado de cumplimiento del Modelo Integrado de Planeación y Gestión - MIPG por cada una de las entidades </t>
  </si>
  <si>
    <t># de actividades ejecutadas para implementación  del MIPG
_________________________________ x 100
Total actividades para implementación del MIPG</t>
  </si>
  <si>
    <t>Actividad incluida en la versión 3 del Plan</t>
  </si>
  <si>
    <t>El Plan  se formuló en el primer trimestre</t>
  </si>
  <si>
    <t>Se han ejecutado todos los componentes del Plan Estratégico de Talento Humano con un avance del 50% en sus actividades.</t>
  </si>
  <si>
    <t xml:space="preserve">Informe de gestion 2 trimestre de la STH y presetaciones Comision de Personal. </t>
  </si>
  <si>
    <t>Se han cumplido a cabalidad las 21 actividades programadas para el segundo trimestre.</t>
  </si>
  <si>
    <t xml:space="preserve">Se estimo un acobertura de 288 personas y se atendió a 266 </t>
  </si>
  <si>
    <t>Se han cumplido a cabalidad las 29 actividades programada para el segundo trimestre.</t>
  </si>
  <si>
    <t>Se cuenta con la caracterización del total de los funcionarios de planta y su núcleo familiar</t>
  </si>
  <si>
    <t>Aplicativo de nómina Kactus migrandfo a Payroll y bases de datos del programa de bienestar</t>
  </si>
  <si>
    <t>Se cuenta con la mitad de los funcionarios con diagnóstico en los componentes del PETH</t>
  </si>
  <si>
    <t>Resultados de Kompe y PDI</t>
  </si>
  <si>
    <t>Indicadores mensuales de seguimiento del SGSST.</t>
  </si>
  <si>
    <t xml:space="preserve">Se han adelantado las activiades de vinculación requeridas en la planta de personal. </t>
  </si>
  <si>
    <t>Historia laboral de funcionarios e informe de Comision de personal</t>
  </si>
  <si>
    <t>Se han adelantado las activiades de vinculación requeridas en el plan de prevision</t>
  </si>
  <si>
    <t>Se solicitó presupuesto para concurso CNSC - 2019</t>
  </si>
  <si>
    <t>Se realizaron las actividades de seguimiento a la evaluación de competencias vigencia 2018, implementación de  PDI, Intervención de evaluación de clima.</t>
  </si>
  <si>
    <t>Historia laborales y archivo de TH.</t>
  </si>
  <si>
    <t>Se formulo y adopto código de integridad mediante resolución 243 de 28 de marzo de 2018</t>
  </si>
  <si>
    <t>resolución 243 de 28 de marzo de 2018</t>
  </si>
  <si>
    <t xml:space="preserve">Se han adelantado 3 actividades: Conferencia Dia del servidor Publico, dados de la integridad y mundialisimo. </t>
  </si>
  <si>
    <t>Listados de asistencia y base de datos TH.</t>
  </si>
  <si>
    <t>De acuerdo con la normatividda vigete, no se realiza calificación de funcionarios de CA en el segundo trimestre. El porcentaje  reportado corresponde a la evaluación realizada en el primer trimestre del año.</t>
  </si>
  <si>
    <t>Historias laborales y consolidado TH</t>
  </si>
  <si>
    <t xml:space="preserve">Se realizó induccióin a 1 funcionaria vinculada, profesional de la Subdirección de Abastecimiento. </t>
  </si>
  <si>
    <t>Correo electrónico de envío de inducción</t>
  </si>
  <si>
    <t xml:space="preserve">Se llevo a cabo capacitación en acuerdos y capacidades para la construcción de paz dictatada por el alto comisionadao para la paz- </t>
  </si>
  <si>
    <t>Convocatoria, Listado de asistencia y memorias</t>
  </si>
  <si>
    <t>(1*100%)/3 =33%</t>
  </si>
  <si>
    <t>Se realizo un ingreso y un  retiro</t>
  </si>
  <si>
    <t>Aplicativo SIGEP</t>
  </si>
  <si>
    <t>(2*100%)/2 =100%</t>
  </si>
  <si>
    <t>No aplica  teniendo en cuenta que la actividad  de revisión de riesgos y aplicación  de controles por parte de la Oficina de Control Interno esta planificada para el 16 de Noviembre de 2018</t>
  </si>
  <si>
    <t>A través de la realización de seguimiento, auditorias y asesorías se ha dado cumplimiento. De las 58 acciones  propuestas en el Plan Anual de Auditoría, se realizaron 29 acciones con corte al 30 de Junio.</t>
  </si>
  <si>
    <t>(29*100%)/58 =50%</t>
  </si>
  <si>
    <t>De 5 seguimientos programados en la vigencia, se han realizado tres seguimientos, de los cuales se han generado los correspondientes informes.  Se ha dado cumplimiento a la acción planteada. 1er seguimiento: Informe Plan de Mejoramiento con radicado No. 20181300018153 del 12/03/2018
2do seguimiento Radicado No. 20181300026593 del 16/04/2018
3er seguimiento Radicado  20181300044263 del 27/06/2018</t>
  </si>
  <si>
    <t>(3*100%)/5 =60%</t>
  </si>
  <si>
    <t xml:space="preserve">Se están realizando las adaptaciones del Cat-Icfes (motor adaptativo y Plexy), de acuerdo a las sugerencias realizadas por el asesor internacional.  En el mes de junio, se organizó una agenda de trabajo para la visita del asesor en la semana del 25 al 29 de Junio, se realizaron jornadas de trabajo en las cuales se abordaron temas como: Propuesta de Prueba Adaptativa (CAT) para el piloto Pre Saber, CAT-Icfes (motor adaptativo y plataforma Plexy), diseño de evaluaciones educativas, niveles de desempeño, y por último se recibieron recomendaciones y sugerencias para el desarrollo del piloto. </t>
  </si>
  <si>
    <t>Los resultados de los informes finales enviados por el asesor, y el seguimiento a actividades se encuentran en el siguiente link: 
https://drive.google.com/drive/folders/1CXUhnfeH-zb1cAxMbGDcVCe_Rka474od</t>
  </si>
  <si>
    <t xml:space="preserve">En el mes de junio se llevó a cabo la prueba Saber Técnicos y Tecnológicos - primer semestre de 2018 para la cual se realizó monitoreo por medio del apoyo en mesas de trabajo para la recolección de las adaptaciones realizadas por el Instituto en la aplicación de dichas pruebas a la población con discapacidad. Para esta actividad se contó con la participación de  5 personas de la Dirección de Evaluación y la Subdirección de Diseño de Instrumentos quienes se desplazaron a diferentes sitios para el día de la aplicación (24 de junio), motivo por el cual se tuvo cumplimiento de la meta del segundo trimestre de 2018. El proyecto de monitoreo tiene como objetivo reunir y documentar evidencia acerca de la manera en la que se están desarrollando en terreno los lineamientos marco, establecidos por el ICFES, para posterior análisis y revisión de las fallas y buscar un mejoramiento contínuo de la aplicación. </t>
  </si>
  <si>
    <t>Cumplidos de comisión entregados a la Subdirección de Abastecimiento y servicios generales.</t>
  </si>
  <si>
    <t>Como iniciativa de innovación, de parte de la Dirección de Evaluación y la Subdirección de Diseño de instrumentos se viene desarrollando el proyecto de evaluación de estudiantes con discapacidad, por esto, se cuenta contractualmente con la asesoría del experto Richard Shavelson con quien se han socializado  los procedimientos actualmente implementados por el Icfes para: registro de los estudiantes, el diseño de pruebas estandarizadas (criterios de construcción y armado), el modelo de calificación y los procedimientos de reporte de resultados. Dentro de las distintas actividades, se discutió sobre las posibles diferencias en los constructos evaluados (población general vs población con discapacidad), se discutió sobre bibliografía relacionada con acomodaciones para la población con discapacidad en el diseño y aplicación de pruebas estandarizadas, el asesor brindó distintas recomendaciones para utilizar los modelos de teoría de respuesta al ítem y de teoría clásica de los test para evaluar el funcionamiento diferencial y se han socializado instrumentos para el monitoreo del desarrollo de pruebas para personas con discapacidad.</t>
  </si>
  <si>
    <t>Los resultados de los informes enviados por el asesor, y el seguimiento a las reuniones se encuentran en el siguiente link de Dropbox , al cual tienen acceso los miembros del equipo de trabajo y el profesor: 
https://www.dropbox.com/s/z03cq4ayg5mcikq/Screenshot%202018-03-05%2012.05.11.png?dl=0</t>
  </si>
  <si>
    <t>De acuerdo al plan de trabajo trazdo y  los procedimientos regulados por la ley, la oficina  Jurídica cumple con las actividades formuladas y ejecutadas oportunamente</t>
  </si>
  <si>
    <t>Página Web: 38 Publicación de Normatividad
Ekogui Procesos activos como Icfes demandante: 24 procesos activos
Ekogui Procesos activos como Icfes demandado: 49 procesos activos</t>
  </si>
  <si>
    <t>Cantidad de sesiones</t>
  </si>
  <si>
    <t>Durante el primer semestre de 2018, se logró realizar las siguientes actividades con ocasión al desarrollo del proyecto estratégico de gestión del conocimiento:
a) Se realizó el diagnóstico y caracterización de los requerimientos del Sistema de Gestión del Conocimiento.
b) Se construyó una línea base del proceso de diseño y construcción de pruebas, de acuerdo con la clasificación, organización y depuración  de la información consolidada de marcos de referencia, especificaciones de prueba y funcionamiento de cada una en las distintas aplicaciones. 
c) Se logró definir la estructura del Sistema de Gestión del Conocimiento que permita un manejo óptimo y eficiente de la información relacionada con los procesos de diseño y construcción de pruebas. 
d) Se avanzó en la gestión de la implementación del Sistema de Gestión del Conocimiento proporcionando los insumos para las fases de levantamiento, planeación, desarrollo, pruebas y puesta en producción del procedimiento de marcos de referencia.</t>
  </si>
  <si>
    <t>(3,5/5)*100=70%</t>
  </si>
  <si>
    <t>Durante el transcurso del año 2018, se logró la publicación de los marcos de referencia de las pruebas de gestión de organizaciones y producción pecuaria, los cuales se empezaron a elaborar desde el año 2017, está en revisión el marco de formulación, evaluación y gestión de proyectos, ciencias naturales 11, así como el de mantenimiento, instalación de hardware y software TyT.</t>
  </si>
  <si>
    <t xml:space="preserve">http://www.icfes.gov.co/instituciones-educativas-y-secretarias/saber-tyt/guias-de-orientacion
http://www.icfes.gov.co/instituciones-educativas-y-secretarias/saber-11/documentos
</t>
  </si>
  <si>
    <t>(2/8)*100 = 25%</t>
  </si>
  <si>
    <t xml:space="preserve">La Fórmulación presupuestal para la próxima vigencia se elabora entre el  tercer y el cuarto trimestre de la vigencia en curso.
</t>
  </si>
  <si>
    <t xml:space="preserve">La entidad ha realizado pagos equivalentes al 96% de las obligaciones adquiridas. Sin embargo ha cumplido con el 100% de los giros a terceros, conforme a lo establecido en las circulares de pago a contratistas, pasantes, proveedores, empleados y entidades externas. </t>
  </si>
  <si>
    <t>El indicador refleja la política de ejecución y pagos a proveedores  y contratistas al 31 06 2018, consistente en mantenerse  al día en el pago de obligaciones; concluyendo que la entidad tiene un nivel mínimo de endeudamiento</t>
  </si>
  <si>
    <t>Balance de prueba parcial al 31 06 2018 en archivo digital área contable; ERP ORACLE/ Balance de prueba.</t>
  </si>
  <si>
    <t>(4227352279)/(4227352279+336513799289)=1,24</t>
  </si>
  <si>
    <t xml:space="preserve">• Publicación de Informes de resultados de 2012 Estudio principal de Factores Asociados en la página web del Icfes.
• Se realizaron las infografías sobre descarga y uso de resultados de Saber PRO y Saber 11 para ser enviadas en julio de 2018 (Saber PRO) y noviembre de 2018 (Saber 11).
• El boletín “Saber es de Todos” quedó definido y montado, estamos a la espera del envío por parte de la Oficina de Comunicaciones en julio de 2018.
</t>
  </si>
  <si>
    <t xml:space="preserve">http://www.icfes.gov.co/docman/instituciones-educativas-y-secretarias/pruebas-saber-3579/factores-asociados-2/informes-factores-asociados/5395-factores-asociados-al-desempeno-academico-en-la-prueba-saber-359-2012-informe-de-resultados/file?force-download=1
https://drive.google.com/drive/u/0/folders/1HobQxfA7Ji3sY5YUmebVFHyB9Qc5DZCy
Correo
</t>
  </si>
  <si>
    <t xml:space="preserve">• Seis guías Saber Pro y Saber TyT: guías publicadas en el aplicativo de consulta de resultados de icfesinteractivo.gov.co.
• Informe Latinoamericano de ICCS: entregado y publicado por la IEA.
• Informes nacionales de las Pruebas de Estado: publicamos el informe de Saber 359, el informe de Saber 11 ya fue publicado y los informes de Saber PRO y Saber TyT están en diagramación para publicación en julio de 2018.
• Plataforma de ítems liberados de Saber 11: lo estamos desarrollando en conjunto con la dirección de tecnología, posiblemente no entra en la priorización de PRISMA por lo que dependemos de tecnología para lograr tener la plataforma a final del 2018.
• Plataforma de ítems liberados Saber PRO: lo estamos desarrollando en conjunto con la dirección de tecnología, posiblemente no entra en la priorización de PRISMA por lo que dependemos de tecnología para lograr tener la plataforma a final del 2018.
</t>
  </si>
  <si>
    <t xml:space="preserve">http://www.icfesinteractivo.gov.co/resultados-saber2016-web/resources/docs/GuiaSaberProInstitucionesHistorico.pdf
https://iccs.iea.nl/resources/publications/single-publication/news/informe-latinoamericano-del-iccs-2016-percepciones-de-los-jovenes-acerca-del-gobierno-la-convivenc/
http://www.icfes.gov.co/docman/instituciones-educativas-y-secretarias/pruebas-saber-3579/guias-de-aplicacion-de-saber-3-5-y-9/informes-saber-3-5-y-9/5354-informe-resultados-nacionales-saber-3-5-y-9-2012-2017/file?force-download=1
http://www.icfes.gov.co/docman/instituciones-educativas-y-secretarias/saber-11/informes-de-saber-11/5377-informe-nacional-de-resultados-del-examen-saber-11-de-2014-ii-2017-ii/file?force-download=1
</t>
  </si>
  <si>
    <t xml:space="preserve">Diseño e implementación del curso virtual sobre evaluación formativa: el curso fue desarrollado y los profesores están realizando el curso. Evidencia: </t>
  </si>
  <si>
    <t>http://www.icfes.gov.co/divulgaciones-establecimientos/cursos-virtuales/curso-avancemos-468.</t>
  </si>
  <si>
    <t>(2/2)*100= 100%</t>
  </si>
  <si>
    <r>
      <t xml:space="preserve">El 85,7% de las acciones propuestas en el PAA para el segundo trimestre  del 2018, han sido realizadas (En el segundo trimestre del 2018 se realizaron 12 actividades de las 14 planeadas). No obstante del total del PAA, al primer semestre de la vigencia se han desarrollado el 50% de las acciones. . La actividad de </t>
    </r>
    <r>
      <rPr>
        <i/>
        <sz val="11"/>
        <rFont val="Calibri "/>
      </rPr>
      <t>"Talleres sobre responsabilidades en materia de riesgos frente al Modelo de las Tres Líneas de defensa y sobre la Metodología de Gestión del riesgo adoptada por el Instituto</t>
    </r>
    <r>
      <rPr>
        <sz val="11"/>
        <rFont val="Calibri "/>
      </rPr>
      <t xml:space="preserve">" proyectada para los meses de mayo - Junio se realizará en el mes de Julio debido a que el Manual de riesgos y la nueva herramienta de gestión del Riego quedaron vigentes finalizando Junio. Así mismo, la actividad </t>
    </r>
    <r>
      <rPr>
        <i/>
        <sz val="11"/>
        <rFont val="Calibri "/>
      </rPr>
      <t xml:space="preserve">"Evaluación Proyectos de Inversión-Cumplimientos de Metas" </t>
    </r>
    <r>
      <rPr>
        <sz val="11"/>
        <rFont val="Calibri "/>
      </rPr>
      <t>la cual estaba prevista para el mes de Junio con corte a mayo, se realizará en el mes de Julio con corte a Junio por el cierre de indicadores que se miden semestralmente.</t>
    </r>
  </si>
  <si>
    <t>No aplica, actividad ejecutada en  el primer trimestre</t>
  </si>
  <si>
    <t>Seguimiento de Hitos de Comunicaciones 2018 \\Icfesserv5\comunicaciones$\AÑO 2018\CALIDAD\VARIOS\PLANEACIÓN 2018</t>
  </si>
  <si>
    <t>Carpeta compartidade de la OACM \\Icfesserv5\comunicaciones$</t>
  </si>
  <si>
    <t xml:space="preserve">                 # de las actividades ejecutadas    X 100                                                           ------------------------------------------                                                                                  # de actividades planeadas para el año</t>
  </si>
  <si>
    <t xml:space="preserve">(25*100%)/ 44 = 57% </t>
  </si>
  <si>
    <t xml:space="preserve">De los Hitos establecidos en el Plan Estratégico de Comunicaciones 2018 y reflejado en las acciones del Plan de Comunicaciones 2018.
De las 44 grandes actividades proyectadas para este 2018 se han realizado a la fecha 25 actividades.
</t>
  </si>
  <si>
    <t>Se generaron 2035 piezas hasta segundo trimestre de 2018. Las piezas generadas por cada área de OACM en la divulgación Icfes, están relacionadas así: Piezas de redes sociales: 606, Boletines de prensa: 89, Piezas gráficas: 704, Videos y gift: 153, Página web: 483.</t>
  </si>
  <si>
    <t xml:space="preserve">Se realizó la asignación de puntajes de las pruebas Saber 11, validantes, y pre saber de acuerdo al modelo de 3PL, con su respectiva calibración, y manuales de procesamiento. 
Las entrega de las bases de datos con asignación de puntajes de saber 11, se entregaron a mediados de mayo. </t>
  </si>
  <si>
    <t>Se ha avanzado en el desarrollo de los análisis sobre análisis de comportamiento diferencial, aumento de datos, análisis estadístico del armado, análisis factoriales exploratorios y confirmatorios, entre otros.</t>
  </si>
  <si>
    <t>Carpeta compartida:
\\icfesserv5\academica$\Documentos técnicos - Subdirección de Estadísticas
\\icfesserv5\academica$\investigaciones</t>
  </si>
  <si>
    <t>3 pruebas calificadas con 3PL/3 Pruebas a calificar con 3PL=100%</t>
  </si>
  <si>
    <t>6 tareas realizadas/ 6 tareas planeadas= 1; 100% de actividades ejecutadas</t>
  </si>
  <si>
    <t>En el segundo trimestre del presente año, para las pruebas internacionales se ha realizado las siguientes actividades: 
PISA: Se acompañó el proceso de aplicación de la prueba, se recibieron los listados de salón y se actualizaron en el sistema keyquest, se consolidó el proyecto de muestreo final y se envió al consorcio. 
PISA4sch: Se generaron los insumos necesarios para llevar a cabo el proceso de calificación de la prueba principal 2018_I, además se llevó a cabo el proceso de calificación y de generación de agregados para dicha prueba. 
TP_link Se realizó la consolidación del proyecto en el software winwW3S 
TALISTVS se han ido muestreado los salones que se incluirán en el estudio de acuerdo al cronograma de aplicaciones establecido 
ERCE revisión de la muestra enviada por el consorcio de acuerdo con los parámetros acordados 
SESS Construcción de la primera versión del marco de muestreo.</t>
  </si>
  <si>
    <t>Tareas de análisis estadisticos realizados/tareas de análisis estadisticos requeridos</t>
  </si>
  <si>
    <t xml:space="preserve">https://drive.google.com/open?id=14NEpez8_c_L5_QnFc5d1WA1ooSKJglIX
 correo electrónico </t>
  </si>
  <si>
    <t>6 actividades realizadas/6actividades planeadas= 1 ; 100%  de actividades realizadas</t>
  </si>
  <si>
    <t xml:space="preserve">Se realizó la asignación de puntajes de las pruebas Saber 11 2018-1, Pre Saber 2018-1 y Validantes 2018-1, las cuales pasaron por un procesos de análisis de ítems, calibración y análisis de estadísticos agregados, así como de generación de manuales de procesamiento, generación de porcentajes de respuestas incorrectas por prueba  y reportes de resultados. </t>
  </si>
  <si>
    <t>\\icfesserv5\academica$\Seguimiento subdirección de estadística\Reportes\2018
\\icfesserv5\academica$</t>
  </si>
  <si>
    <t>No aplica, la actividad se ejecutó en el primer trimestre de 2018</t>
  </si>
  <si>
    <t>No aplica, la actividad se ejecutará a partir del tercer trimestre de 2018</t>
  </si>
  <si>
    <t>5 actividades ejecutadas/5actividades planeadas= 1 ; 100% de actividades ejecutadas</t>
  </si>
  <si>
    <t xml:space="preserve">Se realiza la calificación de la prueba Saber 359 en su totalidad, la cual fue entregada en los tiempos establecidos con las características definidas en el manual de procesamiento. 
Para lo anterior se requirió hacer procesos de calibración de bases de datos, análisis de ítems, procesamientos estadísticos y análisis de agregados. </t>
  </si>
  <si>
    <t xml:space="preserve">
\\icfesserv5\academica$</t>
  </si>
  <si>
    <t>No aplica, la actividad se ejecutará en el cuarto trimestre de 2018</t>
  </si>
  <si>
    <t>Se continuó con la divulgación por redes sociales de las convocatorias y se respondieron inquietudes por medio de los correos electrónicos de las convocatorias</t>
  </si>
  <si>
    <t>Redes sociales del Icfes y correos OFINV.</t>
  </si>
  <si>
    <t>Se cerraron las convocatorias de investigación y se preseleccionaron los ganadores. Estos recibieron los comentarios y ajustes solicitados a sus propuestas, las cuales servirán de base para elegir los ganadores finales que se darán a conocer el 24 de julio por la página web.</t>
  </si>
  <si>
    <t>Acta comité asesor y comunicación a preseleccionados.</t>
  </si>
  <si>
    <t>La agenda en su versión preliminar ya quedó definida y fue publicada en página web y enviada por correo directo a participantes de años anteriores.</t>
  </si>
  <si>
    <t>Página web y redes sociales.</t>
  </si>
  <si>
    <t>En las divulgaciones en las ciudades se realizó una presentación del seminario de este año y se brindó la información sobre costos y fechas de inscripción.</t>
  </si>
  <si>
    <t>Listados de asistencias a las reuniones y presentación empleada en las jornadas.</t>
  </si>
  <si>
    <t>Se tuvieron contactos previos con el operador para definir los documentos necesarios para la contratación en el segundo semestre del año. Asimimo, se empezó la coordinación logística para la traída de los conferencistas internacionales.</t>
  </si>
  <si>
    <t>Actas OFINV y comunicaciones con conferencistas internacionales</t>
  </si>
  <si>
    <t>Se cerró el proyecto de Aulas sin Fronteras con presentación ante el MEN y se comenzó el desarrollo del proyecto de evaluación del ISCE.</t>
  </si>
  <si>
    <t>Actas de reunión OFINV y documentos de avance en las carpetas de Drive de la OFINV</t>
  </si>
  <si>
    <t>No  se tienen actividades programadas para el segundo trimestre</t>
  </si>
  <si>
    <t>No aplica, no  se tienen actividades programadas para el segundo  trimestre</t>
  </si>
  <si>
    <t>(15/16)*100%=94%</t>
  </si>
  <si>
    <t>• Generación de micro sitio en el link de transparencia y acceso a la información pública, numeral 6.Planeación
• Se generó espacio en DARUMA (Sistema de información del SGC) para MIPG.</t>
  </si>
  <si>
    <t xml:space="preserve">Se han ejecutado 15 de las 16 actividades planteadas en el Plan de actualización MIPG, logrando una ejecución del plan del 94%. Se recibió el informe de gestión y desempeño institucional, basado en los resultados FURAG 2017, generado por el Departamento Administrativo de la Función Pública- DAFP, el Icfes alcanzó un puntaje de 87.78 y logrando el primer puesto a nivel del Sector Educación. Por otra parte, durante el periodo informado se ha realizado campaña de divulgación del MIPG. Se realizó divulgación mensual en grupo gestor de desempeño institucional de las dimensiones del Modelo.
</t>
  </si>
  <si>
    <t>No aplica, actividad planeada para inciar en tercer trimestre</t>
  </si>
  <si>
    <t>Calidad y oportunidad de bases de datos: 100%
Calidad y oportunidad de manuales de procesamiento: 100%</t>
  </si>
  <si>
    <t>Este indicador refleja un escaso nivel de contribución por carga impositiva, toda vez que la entidad no es contribuyente del impuesto de renta y complementarios y con respecto al IVA, los servicios de evaluación son excluidos</t>
  </si>
  <si>
    <t>El indicador refleja que la entidad dispone de suficientes recursos de liquidez para atender la obligaciones con proveedores  y contratistas al 31 06 2018,  concluyendo que la entidad tiene un alto volumen de recursos corrientes</t>
  </si>
  <si>
    <t>La composición del pasivo refleja una alta proporción de pasivos corrientes; y  la variación del indicador con respecto al trimestre anterior obedece al momento entre causación y pago de obligaciones corrientes.</t>
  </si>
  <si>
    <t xml:space="preserve">El indicador refleja un bajo nivel de apalancamiento que le permite a la entidad financiar casi que al 100% el total de sus pasivos, sin necesidad de recurrir a endeudamiento con Banca o proveedores. </t>
  </si>
  <si>
    <t>La productividad del Activo Fijo para el segundo trimestre refleja un avance sustancial al pasar la relación ( ventas vs Activos Fijos) de 0.24 a 1.97 veces, debido al comportamiento del recaudo y facturación por prestación de servicios de evaluación</t>
  </si>
  <si>
    <t>En lo corrido del año se ha logrado recaudar el 58% del total de la meta propuesta para la vigencia.  Los ingresos corrientes y dentro del ellos el Recaudo por concepto de Pruebas es el rubro más representativo con $42.645 millones de pesos.</t>
  </si>
  <si>
    <t>Los compromisos adquiridos por la Entidad durante este período han mantenido el mismo crecimiento porcentual respecto a los pagos realizados durante el I trimestre del año, razón por la cual el indicador practicamente no ha presentado variación.</t>
  </si>
  <si>
    <t>Los pagos realizados que hacen parte del presupuesto de gastos en la institución,  son reflejados en la plataforma transaccional vigente.
También se reflejan en la página web de la Entidad.</t>
  </si>
  <si>
    <t>En los gastos de personal se ha pagado el 71% de los compromisos adquiridos, mientras que en los gastos generales esa relación es del 45%.  Esta es la razón por la cual los gastos de funcionamiento al corte nos da el 56%.</t>
  </si>
  <si>
    <t>Los pagos realizados por la Entidad durante este período han crecido en mayor propporción a los compromisos adquiridos, razón por la cual el indicador ha logrado superar la meta del 40%.</t>
  </si>
  <si>
    <t>(2395449/4227352279)=0,06%</t>
  </si>
  <si>
    <t>(1862530996-196616221)/162308543957)=1,03%</t>
  </si>
  <si>
    <t>(3762401324/4227352279)=89%</t>
  </si>
  <si>
    <t>(4227352279/336513799289)=1,26%</t>
  </si>
  <si>
    <t>(48828759197/24788774868)=1,97</t>
  </si>
  <si>
    <t>(105.013.515.877/173.748.726.901)=0,60</t>
  </si>
  <si>
    <t>(13.930.092.211/55.920.616.746)=0,249</t>
  </si>
  <si>
    <t>(13.780.422.484/24.513.315.412)=0,562</t>
  </si>
  <si>
    <t>(6.108.241.889/13.379.192.731)=0,456</t>
  </si>
  <si>
    <t>Con corte a 30 de junio de 2018 se tiene 261 contratos vigentes de persona natural, los cuales se encuentran con accesos disponibles a las hojas de vida en SIGEP.</t>
  </si>
  <si>
    <t>Se ha realizado la terminación de 32 contratos de los cuales, 11 han sido por terminaciones anticipadas y 21 por finalización del contrato, todos registrados en SIGEP.</t>
  </si>
  <si>
    <t>PINAR publicado</t>
  </si>
  <si>
    <t>Plan Institucional de Archivos Publicado  en página web.</t>
  </si>
  <si>
    <t>http://www.icfes.gov.co/transparencia/instrumentos-gestion-de-informacion-publica/plan-institucional-de-archivos</t>
  </si>
  <si>
    <t>Instrumentos archivísticos desarrollados en el Trimestre:
Plan Institucional de Archivos
Programa de Gestión Documental
Mapa de Riesgos de la Gestión Documental, Reglamento Interno de Archivos 
MOREQ 
Banco Terminológico
Tablas de Control de Acceso Documental</t>
  </si>
  <si>
    <t>Al finalizar el II trimestre del año, la Entidad ha comprometido el 54% del presupuesto de la vigencia.  Este ha sido impulsado principalmente por los gastos de inversión, los cuales se han comprometido un 67% seguido de los gastos de funcionamiento con un 58%.</t>
  </si>
  <si>
    <t>(93.813.124.889/173.748.726.901)*100=54%</t>
  </si>
  <si>
    <t>De 342 contratos celebrados por la entidad, se encuentran registrados en la misma cantidad en la plataforma SECOP II, estableciendo así un cumplimiento del 100%</t>
  </si>
  <si>
    <t>(261 Accesos dados de alta/261 Contratos prestación de servicios)*100=100%</t>
  </si>
  <si>
    <t>(32 Accesos dados de baja/32 Contratos finalizados)*100=100%</t>
  </si>
  <si>
    <t>(7 actividades ejecutadas del PGD/17 actividades programadas del PGD)*100=41%</t>
  </si>
  <si>
    <t>Para el segundo trimestre del año 2018, se realizó la campaña "Visión Bike", usando la herramienta de correo electrónico y boletín interno.
Respecto a la Semana Ambiental, se desarrollaron las siguientes actividades:
•Sensibilización “CAMBIANDO EL CHIP” con el apoyo de la Secretaría Distrital de Movilidad.
•Sensibilización del programa “POS CONSUMO” liderado por el Grupo Retorna y la Empresa de Acueducto y Alcantarillado de Bogotá.
•Desarrollo del taller “SIEMBRA DE SEMILLEROS” la cual conto con el apoyo del Jardín Botánico de Bogotá.</t>
  </si>
  <si>
    <t>(4 actividades ejecutadas del plan de Gestión Ambiental/4 Actividades programadas del plan de Gestión Ambiental)*100=100%</t>
  </si>
  <si>
    <t>Para el segundo trimestre del año 2018, se realizó la campaña "Visión Bike", usando la herramienta de correo electrónico y boletín interno.
Respecto a la Semana Ambiental, se desarrollaron las siguientes actividades:
 •Sensibilización “CAMBIANDO EL CHIP” con el apoyo de la Secretaría Distrital de Movilidad.
•Sensibilización del programa “POS CONSUMO” liderado por el Grupo Retorna y la Empresa de Acueducto y Alcantarillado de Bogotá.
•Desarrollo del taller “SIEMBRA DE SEMILLEROS” la cual conto con el apoyo del Jardín Botánico de Bogotá.</t>
  </si>
  <si>
    <t xml:space="preserve">De  444 requerimientos  programados  entre los meses de enero a junio de 2018 para ejecución,  375 fueron comprometidos con un proceso de contratación; así las cosas, se ejecutó un 84% de las líneas proyectadas, </t>
  </si>
  <si>
    <t>https://icfes.darumasoftware.com/app.php/indicator</t>
  </si>
  <si>
    <t>(375  Requerimientos programados/444  Requerimientos programados)*100=100%</t>
  </si>
  <si>
    <t xml:space="preserve">Se realizó la socialización al 100% de las áreas del Instituto, mediante comunicación interna No. 20182100035133 del 25-05-2018 dirigida a los Directores y Jefes de oficina, asimismo, en el Comité Directivo del 29 de mayo, se realizó la presentación de los resultados, por parte del Centro Nacional de Consultoría. </t>
  </si>
  <si>
    <t>*Radicado 20182100035133
*Acta Comité Directivo 29/05/2018</t>
  </si>
  <si>
    <t xml:space="preserve">Se realizó la medición del indicador de satisfacción mensual para el segundo trimestre del año, en todos los Canales de Atención, en total se realizaron 53.180 encuestas, con una nota promedio de 4,55. </t>
  </si>
  <si>
    <t xml:space="preserve">Se realizó la revisión y actualización del Protocolo de Atención al Ciudadano, aprobado por la Jefe de la UAC, el día 20 de junio. Asimismo, se realizó el día 22 de junio de 2018 la solicitud de diseño gráfico a la OAC, quienes informan que el producto final estará listo el día 23 de julio para su actualización en el Portal Institucional.  </t>
  </si>
  <si>
    <t>*Formato Diseño_ Actualización PAC</t>
  </si>
  <si>
    <t>(10/10)*100=100%</t>
  </si>
  <si>
    <t xml:space="preserve">Durante el segundo trimestre se llevaron a cabo dos reuniones con los líderes de la operación y el equipo supervisor del contrato:
1. Presentación Informe de gestión enero- marzo 2018. 13/04/2018
2.  Capacitación cifrado de la información 12/06/2018 
</t>
  </si>
  <si>
    <t xml:space="preserve">Acta de Reunión No. 35 Presentación Informe de gestión enero- marzo 2018. 13/04/2018
Acta de reunión No 36. Capacitación cifrada de la información 12/06/2018 
</t>
  </si>
  <si>
    <t>(3/4)*100=75%</t>
  </si>
  <si>
    <t>(5/10)*100=50%</t>
  </si>
  <si>
    <t xml:space="preserve">Se participó en la segunda y tercera Feria Nacional de Servicio al Ciudadano, que se llevaron a cabo en: 
1. Necoclí, Antioquia el 21 de abril de 2018
2. Cumaribo, Vichada el 23 de junio de 2018
</t>
  </si>
  <si>
    <t xml:space="preserve">Informes Ferias, Necoclí y  Cumaribo </t>
  </si>
  <si>
    <t xml:space="preserve">Se realizaron 3 envíos de mailing al total de los registros de las bases de datos entregadas por la DT, es importante señalar que el informe final de la gestión se entregó mediante radicado 20182100038773 el 08 de junio a la OAP. </t>
  </si>
  <si>
    <t>* Radicado 20182100038773</t>
  </si>
  <si>
    <t>(1449850/1449850)*100=100%</t>
  </si>
  <si>
    <t xml:space="preserve">Durante el primer trimestre de 2018, respecto a año 2017 se evidencia un incremento de las interacciones del 47.02% cumpliéndose la meta propuesta para el Canal Electrónico.  
</t>
  </si>
  <si>
    <t>*Comparativo transacciones recibidas Canal Electrónico</t>
  </si>
  <si>
    <t>((63074-42901)/42901)*100=47%</t>
  </si>
  <si>
    <t xml:space="preserve">De 487 Instituciones que realizaron reclamaciones en el 2017, se realizó el acompañamiento a 459 instituciones, con el fin de garantizar el registro de los estudiantes. Es decir, se realizó el acompañamiento al 94 % de las instituciones educativas que reportaron problemas en anteriores convocatorias para la inscripción de pruebas Saber 11°, Pre saber 11°, Validación del bachillerato para el calendario A 2017
</t>
  </si>
  <si>
    <t>*Informe Acompañamiento Soporte a Registro ACVG-2018-2</t>
  </si>
  <si>
    <t>(459/487)*100=100%</t>
  </si>
  <si>
    <t xml:space="preserve">Durante el mes de abril de 2018 se realizó la publicación de los informes de PQRs, Quejas y Reclamos y Solicitudes de acceso a la información, para el primer trimestre de 2018. Los informes del segundo trimestre de 2018, se encuentran en proceso de consolidación y se publicaran en el portal Institucional durante el mes de julio.
</t>
  </si>
  <si>
    <t>El 30 de abril de 2018 se dio cierre efectivo a todas las actividades del plan Plan de Acción PA1715-004, cuyo objetivo es fortalecer los conceptos y la correcta tipificación de las quejas y los reclamos en conjunto con el proveedor del Centro de Gestión de Servicios, atendiendo a las recomendaciones de la última auditoría de seguimiento llevada a cabo por el ICONTEC.</t>
  </si>
  <si>
    <t xml:space="preserve">Durante el segundo trimestre del año 2018, desde la Unidad de Atención al Ciudadano se realizaron en promedio 23 solicitudes mensuales de actualización de contenidos a la Oficina Asesora de Comunicaciones, con el fin de asegurar que los ciudadanos visualicen información, clara, oportuna y pertinente. </t>
  </si>
  <si>
    <t xml:space="preserve">Solicitudes de actualización de contenido a la OAC. </t>
  </si>
  <si>
    <t xml:space="preserve">A la fecha se encuentra actualizada la información para la totalidad de los trámites y servicios inscritos en el SUIT. Asimismo, se ha cargado la información de los datos de gestión de operación hasta el mes de marzo. </t>
  </si>
  <si>
    <t>Las actualizaciones de contenido se puede visualizar en https://www.nomasfilas.gov.co/</t>
  </si>
  <si>
    <t xml:space="preserve">Se tienen construidas las encuestas que se le aplicarán a los ciudadanos, usuarios o grupos de interés </t>
  </si>
  <si>
    <t xml:space="preserve">Se definió la metodología para la actualización de ciudadanos, usuarios y grupos de interés.
Se construyó un cronograma de actividades para llevar a cabo la actualización y se han desarrollado las siguientes:
Identificación de objetivos y alcance.
Se identificó un lider del ejercicio de caracterización.
Se establecieron las variables y los niveles de desagregación de la información.
Se priorizaron las variables relevantes para el ejercicio 
Se realizó el instrumento de medición que se aplicará a cada uno de los grupos de interés
</t>
  </si>
  <si>
    <t>\\icfesserv5\planeacion$\2018\GESTION Y DESEMPEÑO\Proy Información\Caracterización Stakeholders</t>
  </si>
  <si>
    <t xml:space="preserve">Se realizó la reformulación del Plan de racionalización de tramites y se encuentra en proceso de  aprobación por el Comité Institucional </t>
  </si>
  <si>
    <t>\\icfesserv5\planeacion$\2018\GESTION Y DESEMPEÑO\PAAC\Racionalización trámites\ESTRATEGIA RACIONALIZACION DE TRAMITES\Doc Estrategia</t>
  </si>
  <si>
    <t>(0/1)*100=0%</t>
  </si>
  <si>
    <t>Se conformó y establecio una mesa de trabajo y un plan de trabajo de gestión del concimiento con  la STH, DTI Y OAP. En este plan se estableció la creacion de un documento (procedimeitno guia) para la gestión del conocmiento que se desarrollará en el segundo semestre</t>
  </si>
  <si>
    <t>\\icfesserv5\planeacion$\2018\GESTION Y DESEMPEÑO\MIPG II\DIMENSIONES\6. Gestión del Conocimiento y la innovación\info MEN</t>
  </si>
  <si>
    <t>La OAP está liderando la actualización y mejoras de los contenidos del Link de transparencia del portal WEB del ICFES.
La OACM solicita actualizaciones a la Dirección de tecnología de acuerdo al requerimiento de las áreas de la entidad.</t>
  </si>
  <si>
    <t>En el archivo "Matriz de cumplimiento RES_ 3564 de 2015_rev1_2018_cortemayo" del link: '\\icfesserv5\planeacion$\2018\GESTION Y DESEMPEÑO\Proy Información\Link de transparencia 2018</t>
  </si>
  <si>
    <t>(80/87)*100=92%</t>
  </si>
  <si>
    <t>Se realizó seguimiento en el mes de mayo a la información publicada en el link de transparencia, a corte de 31 de mayo del 2018 de los 87 numerales a publicar se tiene un cumplimiento total de 80 y parcial de 7</t>
  </si>
  <si>
    <t xml:space="preserve">Se realizó autodiágnostico en las matrices del DAFP y se generó plan de actualización MIPG. Se recibió el informe de gestión y desempeño institucional, basado en los resultados FURAG 2017, generado por el Departamento Administrativo de la Función Pública- DAFP, el Icfes alcanzó un puntaje de 87.78 y logrando el primer puesto a nivel del Sector Educación. Por otra parte, durante el periodo informado se ha realizado campaña de divulgación del MIPG. Se realizó divulgación mensual en grupo gestor de desempeño institucional de las dimensiones del Modelo.
</t>
  </si>
  <si>
    <t>Los autodiagnósticos reposan en: \\icfesserv5\planeacion$\2018\GESTION Y DESEMPEÑO\MIPG II\REVISIÓN DIAGNÓSTICO PLANEACIÓN\Autodiagnósticos validados</t>
  </si>
  <si>
    <t>(2,5*100)/5 = 50%</t>
  </si>
  <si>
    <t>(50*100)/50 =100%</t>
  </si>
  <si>
    <t>(121*100)/121 =100%</t>
  </si>
  <si>
    <t>(1*100)/1 =100%</t>
  </si>
  <si>
    <t>(3*100)/3 =100%</t>
  </si>
  <si>
    <t>(3*100)/6 =50%</t>
  </si>
  <si>
    <t>((3629+1137+2932)*100)/(3629+1137+2932)=100%</t>
  </si>
  <si>
    <t>(3/5)*100= 60%</t>
  </si>
  <si>
    <t>(6*100)/12=50%</t>
  </si>
  <si>
    <t>(7*100)/13=54%</t>
  </si>
  <si>
    <t>(3*100)/4=75%</t>
  </si>
  <si>
    <t>(1/3)*100=33%</t>
  </si>
  <si>
    <t>(111*100)/111 =100%</t>
  </si>
  <si>
    <t>(48/54)*100=88%</t>
  </si>
  <si>
    <t>La información reposa en la cartepa compartida: 
\\icfesserv5\planeacion$\2018\GESTION Y DESEMPEÑO\Rendición de cuentas 2018</t>
  </si>
  <si>
    <t>(64/92)*100=70%</t>
  </si>
  <si>
    <t>El seguimiento al PAAC se encuentra publicado en el link de transparencia en: http://www.icfes.gov.co/transparencia/planeacion/politicas-lineamientos-y-manuales</t>
  </si>
  <si>
    <t xml:space="preserve">Sobre el plan de trabajo definido se realizaron las siguientes actividades: 
1. Se elaboró la versión actualizada del PETI
2. Se definió la estrategia de TI en términos de estrategias, tácticas y metas para alcanzar los objetivos estratégicos definidos en el PETI
3. Se divulgó la estrategia de TI al equipo de trabajo. </t>
  </si>
  <si>
    <t>http://192.168.147.76/soporte/arquitecturaEmpresarial/Entregables AE/</t>
  </si>
  <si>
    <t>Resultado Indicador H5.I01 promedio del trimestre: 
85,81%</t>
  </si>
  <si>
    <t xml:space="preserve">La Dirección de Tecnología e Información hace seguimiento a la ejecución de los proyectos de TI a través de comités periódicos y herramientas especializadas.
A partir del 31 de mayo de 2018, se está utilizando el módulo de Actas del aplicativo DARUMA para el registro de las mismas. </t>
  </si>
  <si>
    <t>En la ubicación \\icfesserv5\dirtecnol$\GENERAL-TECNOLOGIA\Comité Tecnología
Módulo de Actas - Aplicativo Daruma
Reporte indicador H5.I01 Cumplimiento de la ejecución de proyectos</t>
  </si>
  <si>
    <t>No aplica, la actividad se ejecutó en primer trimestre</t>
  </si>
  <si>
    <t>(1/5)*100=20%</t>
  </si>
  <si>
    <t>Documento de análisis PESTEL y TASCOI</t>
  </si>
  <si>
    <t xml:space="preserve">En el segundo trimestre del año, se realizó la aplicación de la prueba "Avancemos" para los grados 4°, 6° y 8° (1era. aplicación) para 345.033 estudiantes de 3.160 instituciones en 505 municipios de 30 departamentos.
Se continúa trabajando en los requerimientos para garantizar la presentación de las demás pruebas a aplicar en segundo semestre del año, que corresponden a: 
1. Saber 11 INSOR
2. Avancemos 4°, 6° y 8° (2da. aplicación)
3. Ascenso a mayores - Policía Nacional
4. Saber PRO y Saber TyT en el exterior </t>
  </si>
  <si>
    <t>http://www.icfes.gov.co/instituciones-educativas-y-secretarias/avancemos-4-6-y-8/preguntas-frecuentes-pre-inscripcion-2#</t>
  </si>
  <si>
    <t>(1/5)+100=20%</t>
  </si>
  <si>
    <t>Pendiente de formulación del plan</t>
  </si>
  <si>
    <t>Teniendo en cuenta la expedición del Decreto 1008 del 14 de Junio de 2018, por el cual se establecen los lineamientos generales de la política de Gobierno Digital, se esta a la espera de la expedición del Manual y metodología de medición de la implementación de la política de Gobierno Digital. Sin embargo, paralelamente se esta haciendo seguimiento a la brecha frente a los lineamientos de Gobierno en línea que se encuentran pendientes de cumplir durante esta vigencia.</t>
  </si>
  <si>
    <t>No aplica</t>
  </si>
  <si>
    <t>1. El marco del dominio de Controles Criptográficos, como acciones de apropiación del tema, se generaron  los videos de llaves de cifrado y se citó a toda la Entidad para uso y apropiación del tema. 
2. En lo referente al dominio de Operación Segura, se llevó a cabo el afinamiento de reglas en la herramienta dispuesta para la prevención de fuga de información (DLP, por sus siglas en inglés, Data Lost Prevention).
3. En el dominio de Continuidad en Seguridad,  se realizó la configuración y lanzamiento de la herramienta Password Manager para brindar continuidad a la seguridad de las credenciales.
4. Respecto al dominio de Operación Segura:
   a. Para el control de Gestión de Usuarios Privilegiados que hace parte del dominio de Operación Segura, se configuró la política de gestión de contraseñas en la herramienta Password Manager.
   b. Se viene adelantado la revisión de los 16 procedimientos operativos asociados a los 5 subprocesos que hacen parte del proceso de Gestión de Tecnología e Información, para definir los puntos de control de seguridad que se deben contemplar en los mismos.
   c.  Se viene adelantado la construcción de una guía de seguridad en proyectos que contempla las recomendaciones que sobre temas de seguridad se deben tener en cuenta en la ejecución de un proyecto.
5. Se realizó el anexo técnico para la contratación de pruebas de seguridad (Ethical Hacking).
6. Se realizó la actualización del instrumento de evaluación de seguridad de la información arrojando un valor de calificación de 92.
7. Se realizó un trabajo conjunto con la Oficina Asesora de Planeación para lograr una actualización a la matriz con que se gestionan los riesgos del Instituto. Se realizó la actualización al procedimiento de gestión de incidentes de seguridad de la información. Se construyó el formato de Logs para realizar el levantamiento de los logs de las aplicaciones y plataformas que tiene la Entidad para así el otro año implementar el correlacionador de logs. 
8. Se lanzó la campaña expectativa de los super villanos y los super I como eje central del plan de sensibilización en seguridad de la información. 
9. Se continuó con el plan de sensibilización en el uso de llaves criptográficas. 
10. Se presentaron los avances del proyecto en el Segundo Comité Institucional de Gestión y Desempeño del Instituto.</t>
  </si>
  <si>
    <t xml:space="preserve">Se realiza seguimiento a la matriz del Plan de Tratamiento de Riesgos de Seguridad y Privacidad de la Información, por parte de cada una de las áreas que participan en el mismo. </t>
  </si>
  <si>
    <t>(12/42)*100= 28,57%</t>
  </si>
  <si>
    <t>(134/437)*100=30,66%</t>
  </si>
  <si>
    <t>Se está trabajando en la formulación del plan de trabajo para la implementación de la Política de Seguridad Digital, teniendo en cuenta las directrices establecidas en el Manual de Gobierno en Línea del MINTIC, la Política de Gobierno Digital y en el documento CONPES 3854 de 2016.</t>
  </si>
  <si>
    <t>En el segundo trimestre y de acuerdo al Plan de Mantenimiento de Servicios Tecnológicos, se han realizado los mantenimientos preventivos programados de servidores, equipos de red, centros de cableado, UPS, en el marco de los contratos N° 366 de 2017 y 313 de 2018. Igualmente, los demás Servicios Tecnológicos se encuentran soportados y respaldados en sus mantenimientos a través de sus contratos vigentes de soporte y mantenimiento.</t>
  </si>
  <si>
    <t>Expedientes contractuales:
• Contrato N° 366 de 2017 - Mantenimiento preventivo de servidores y equipos de red.
• Contrato N° 313 de 2018 – Manteamiento preventivo de UPS
• Contrato  N° 336 de 2015 – Soporte y mantenimiento infraestructura nube AWS
• Contrato N° 477 de 2017 – Soporte Google apps for works
• Contrato N° 342 de 2015, Acta de ejecución N° 2 – Soporte y mantenimiento conectividad y Datacenter
• Contrato N° 472 de 2017 – Soporte herramienta de backup BACKUP-EXE
• Contrato N° 300 de 2018 – Soporte sistema de seguridad perimetral Fortinet
• Contrato N° 472 de 2017 – Soporte licencia de seguridad equipos de cómputo Symantec
• Contrato  N° 439 de 2017 – Soporte herramienta de gestión de recursos tecnológicos Aranda.
Archivo: Medición indicador Plan Mantenimiento de Servicios Tecnológicos.xlsx</t>
  </si>
  <si>
    <t>(10/30)*100=33.33%</t>
  </si>
  <si>
    <t>Las principales actividades que se llevaron a cabo en este periodo son las que se relacionan a continuación:
1. Se realizó el anexo técnico para la contratación de pruebas de seguridad (Ethical Hacking).
2. Se realizó la actualización del instrumento de evaluación de seguridad de la información arrojando un valor de calificación de 92.
3. Se realizó un trabajo conjunto con la Oficina Asesora de Planeación para lograr una actualización a la matriz con que se gestionan los riesgos del Instituto. Se realizó la actualización al procedimiento de gestión de incidentes de seguridad de la información. Se construyó el formato de Logs para realizar el levantamiento de los logs de las aplicaciones y plataformas que tiene la Entidad para así el otro año implementar el correlacionador de logs. 
4. Se lanzó la campaña expectativa de los super villanos y los super I como eje central del plan de sensibilización en seguridad de la información. 
5. Se continuó con el plan de sensibilización en el uso de llaves criptográficas. 
6. Se presentaron los avances del proyecto en el Segundo Comité Institucional de Gestión y Desempeño del Instituto.
Los controles del SGSI que serán implementados en el marco de ejecución del proyecto son: 
1. Control en cifrado
2. Control en gestión de cambios
3. Control en administración de contraseñas
4. Matriz de riesgos</t>
  </si>
  <si>
    <t>(2/4)*100= 33%</t>
  </si>
  <si>
    <t>Se está trabajando con el nuevo instrumento de evaluación y medición que contempla los lineamientos de: Ciberseguridad, Modelo de Seguridad y Privacidad de la Información (MSPI), y Modelo Integrado de Planeación y Gestión (MIPG).</t>
  </si>
  <si>
    <t>(1/3)*100= 33,33%</t>
  </si>
  <si>
    <t># de seguimientos ejecutados al instrumento del Modelo de Seguridad y Privacidad de la Información
_________________________________ x 100
Total seguimientos planeados al instrumento del Modelo de Seguridad y Privacidad de la Información</t>
  </si>
  <si>
    <t>No se ha expedido el acto administrativo</t>
  </si>
  <si>
    <t>Debido a la implementación del Modelo Integrado de Planeación y Gestión - MIPG, se revisó el Sistema de Gestión y Gobierno de Datos- SGGD establecido mediante la Resolución 834 de 2017 que adoptaba dicho sistema en la Entidad. 
Durante el primer semestre se ha avanzado en la adaptación del Sistema de Gestión y Gobierno de Datos dentro de los lineamientos propuestos por:
1. Modelo Integrado de Planeación y Gestión - MIPG
2. Decreto 1008 de 2018, que subroga capítulo 1 del título 9 de la parte 2 del libro 2 del Decreto 1078 de 2015
3. Cambios en el Sistema de Gestión de Calidad del Instituto
Se tiene previsto que se genere una nueva resolución para adoptar el Sistema de Gestión y Calidad de Datos - SGGD que integre los cambios anteriormente mencionados, la cual deroga la resolución anterior.</t>
  </si>
  <si>
    <t>Debido a la alineación requerida del Sistema de Gestión y Gobierno de Datos con el Sistema de Gestión de Calidad del Instituto y la actualización del Modelo Integrado de Planeación y Gestión, se hizo necesario reformular el plan de trabajo para la definición y documentación de las políticas, lineamientos y estándares que rigen la administración de los datos al interior del Instituto, actividad que se encuentra prevista para el segundo semestre del año.</t>
  </si>
  <si>
    <t>(0/16)*100= 0%</t>
  </si>
  <si>
    <t>Se está trabajando en la definición del proceso de gobierno de datos y sus procedimientos a ser generados en el marco de este proyecto, los cuales son:
1) Proceso de Gestión y Gobierno de Datos e Información
2) Procedimientos de:
a. Administración de los datos
b. Administración de entidades de información
c. Uso y explotación de la información</t>
  </si>
  <si>
    <t xml:space="preserve">De acuerdo con el plan de trabajo, la definición de los indicadores depende directamente de la formulación y aprobación de los procedimientos del proceso del Sistema de Gestión y Gobierno de Datos. </t>
  </si>
  <si>
    <t>(0/4)*100= 0%</t>
  </si>
  <si>
    <t>(0/3)*100= 0%</t>
  </si>
  <si>
    <t>V1: Plan de trabajo de evaluación de accesibilidad ejecutado: 1
V2: Plan de trabajo de evaluación de accesibilidad del Portal Icfes Interactivo y Portal Integrado planeado: 2
Resultado: 50%</t>
  </si>
  <si>
    <t>Durante este trimestre, se realizó la evaluación manual y automática de accesibilidad AA para todas las aplicaciones que conforman el Portal Icfes Interactivo.</t>
  </si>
  <si>
    <t xml:space="preserve">Plan de evaluación de accesibilidad del Portal Icfes Interactivo publicado en la carpeta del proyecto. </t>
  </si>
  <si>
    <t>Se encuentra definido el plan de trabajo de evaluación de accesibilidad dentro del cronograma del proyecto Portal Integrado del Icfes. Dicho plan será ejecutado una vez se ponga en ambiente de pruebas el nuevo portal.</t>
  </si>
  <si>
    <t>https://icfes.pvcloud.com/planview/PRM/ProjectResourceMgmt.aspx?ptab=PRJ_MAIN&amp;pt=PROJECT&amp;sc=20557&amp;scode=20557&amp;popup=1&amp;back=close</t>
  </si>
  <si>
    <t xml:space="preserve">De acuerdo con el plan de trabajo, la corrección de errores del Portal Icfes Interactivo se encuentra prevista para el segundo semestre del año, según el resultado generado por el plan de evaluación de accesibilidad. </t>
  </si>
  <si>
    <t>El cumplimiento de los 36 criterios de conformidad para certificar el nivel de accesibilidad AA en el Portal Integrado del Icfes, se encuentra definido en el cronograma del proyecto. Dicho plan será ejecutado una vez se ponga en ambiente de pruebas el nuevo portal.</t>
  </si>
  <si>
    <t>En la actividad de revisión de la estrategia de TI actual de la entidad para el segundo trimestre se realizaron las siguientes actividades:
1. Se definió una estrategia de TI en términos de estrategias, tácticas y metas para el logro de los objetivos de TI definidos en el PETI. 
2. Se desarrolló una propuesta de indicadores de seguimiento de la Estrategia TI.</t>
  </si>
  <si>
    <t>http://192.168.147.76/soporte/arquitecturaEmpresarial/Entregables AE/2018/01-Estrategia de TI/Cumplimiento de AE.xlsx
http://192.168.147.76/soporte/arquitecturaEmpresarial/Entregables AE/2018/01-Estrategia de TI/ES.ART.17 Estrategia de TI Estrategia de TI.xlsx
'http://192.168.147.76/soporte/arquitecturaEmpresarial/Entregables AE/2018/01-Estrategia de TI/Indicadores de la Estrategia de TI.xlsx</t>
  </si>
  <si>
    <t xml:space="preserve">Se propone una estructura funcional para Dirección de Tecnología e Información, la cual está pendiente de aprobación en la sesión de seguimiento de Arquitectura Empresarial y así proceder a la definición de las funciones u obligaciones de los diferentes roles. 
Se viene adelantando un plan de trabajo para la elaboración y/o actualización de los procedimientos del proceso de Gestión de Tecnología e Información. </t>
  </si>
  <si>
    <t>http://192.168.147.76/soporte/arquitecturaEmpresarial/Entregables AE/2018/02- Gobierno de TI/Estructura Funcional de TI-TO BE.pptx
http://192.168.147.76/soporte/arquitecturaEmpresarial/Entregables AE/2018/02- Gobierno de TI/Plan de Trabajo de Procedimientos de TI.xlsx</t>
  </si>
  <si>
    <t xml:space="preserve">En el repositorio del proyecto de Arquitectura Empresarial se han registrados los 439 componentes de información identificados y se han definido los atributos que se van a caracterizar para cada componente. </t>
  </si>
  <si>
    <t>https://icfes.smart360.biz/smartea/businessobject/init.do</t>
  </si>
  <si>
    <t xml:space="preserve">Las actividades desarrolladas durante el II Trimestre son:
1. Se definió una primera versión de Glosario de Términos de Tecnología e Información.
2. Se propuso el ciclo PHVA para la Gestión de la Arquitectura de Información. 
3. Se identificaron las entidades de negocio. </t>
  </si>
  <si>
    <t>http://192.168.147.76/soporte/arquitecturaEmpresarial/Entregables AE/2018/Gestión/Arquitectura Empresarial 2018.pdf
http://192.168.147.76/soporte/arquitecturaEmpresarial/Entregables AE/2018/03-Información/Glosario de la Dirección de Tecnología e Información.xlsx
http://192.168.147.76/soporte/arquitecturaEmpresarial/Entregables AE/2018/03-Información/A4_CR005_Subproceso Gestión de la arquitectura de Informacion_v2.docx</t>
  </si>
  <si>
    <t>Durante este trimestre se realizó la actualización del catálogo de sistemas de información en relación a la arquitectura actual.</t>
  </si>
  <si>
    <t>https://icfes.smart360.biz/smartea/informationsystem/init.do</t>
  </si>
  <si>
    <t>Durante este trimestre, se elaboró la estrategia de Uso y Apropiación de la Arquitectura Empresarial.</t>
  </si>
  <si>
    <t>http://192.168.147.76/soporte/arquitecturaEmpresarial/Entregables AE/2018/06- Uso y Apropiación/20180704 Estrategia_Uso_y_Apropiación_2018.pptx</t>
  </si>
  <si>
    <t>(2/4)=50%</t>
  </si>
  <si>
    <t>(21/50)*100= 42%</t>
  </si>
  <si>
    <t>(23/50)*100= 46%</t>
  </si>
  <si>
    <t>(22/50)*100= 44%</t>
  </si>
  <si>
    <t>Los módulos planeados para el sistema de información PRISMA son: 
1. Inscripción
2. Citación
3. Aprovisionamiento
4. Instrumentos
5. Autenticación única
6. Resultados
7. Armado
8. Gestión
9. Informe Aplicación
10. Análisis de ítems
11. Calificación
De los anteriores módulos se cuenta con historias aprobadas en el segundo trimestre para: 1) Análisis de ítems, 2) Armado, 3) Calificación, 4) Citación, 5) Informe Aplicación, 6) Inscripción y 7) Resultados</t>
  </si>
  <si>
    <t>1. El seguimiento de las historias de usuario se encuentra en la herramienta establecida por la Subdirección de Desarrollo de Aplicaciones.
2.  http://www2.icfesinteractivo.gov.co/icescrum/p/PROJ2#project</t>
  </si>
  <si>
    <t>Durante el segundo trimestre se estimaron 126 historias de usuario  de las 133 aprobadas para realizar el análisis técnico, y determinar la complejidad en desarrollo, bajo estas estimaciones se realiza la planeación de las funcionalidades a implementar al trimestre. Esto se realizó para los módulos de Análisis de ítems, Armado, Calificación, Citación, Informe Aplicación, Inscripción y Resultados.</t>
  </si>
  <si>
    <t>1.  El seguimiento de las historias de usuario se encuentra en la herramienta establecida por la Subdirección de Desarrollo de Aplicaciones.
2. http://www2.icfesinteractivo.gov.co/icescrum/p/PROJ2#project</t>
  </si>
  <si>
    <t>Se planearon tres (3) sprints que cubren los módulos con historias aprobadas: 
1) Armado y Análisis de ítems 
2) Inscripción, Citación, resultados 
3) Informe aplicación y calificación 
Se encuentra pendiente el sprint 3.</t>
  </si>
  <si>
    <t>1. http://www2.icfesinteractivo.gov.co/icescrum/p/PROJ2#project
2. El código del proyecto se encuentra en el repositorio de la Dirección de Tecnología e Información. (http://192.168.147.76/svn/misional/ - PRIVADO)
3. El seguimiento a las actividades del proyecto se encuentra en los distintos aplicativos establecidos por la Dirección de Tecnología e Información.</t>
  </si>
  <si>
    <t>Durante el segundo trimestre se entregaron a producción 10 funcionalidades: 
a. En Inscripción se entregaron tres (3) funcionalidades: 1) Descarga de credenciales para Avancemos 468, 2) Ajustes al Preregistro por NBC y 3) Ajuste a inscripción para convenio SENA Exterior
b. Informe aplicación, se desarrollaron tres (3) funcionalidades: 1) Nueva sección de material adicional en informe delegado, 2) Inclusión de ayudas para informe delegado y 3) Consolidación de novedades de material adicional en el reporte administrativo
c. En Resultados se entregaron tres (3) funcionalidades: 1) Reporte de resultados web Avancemos 468, 2) Reporte de resultados pdf Avancemos 468 y 3) Reporte de resultados excel Avancemos 468
También se logro la entrega al equipo de Operación de la Dirección de Tecnología e Información, los módulos de Inscripción, Instrumentos, Recaudo, informe aplicación, SSO y Gestión.</t>
  </si>
  <si>
    <t>Aplicativo PRISMA desplegado en producción
- http://www2.icfesinteractivo.gov.co/prisma-web/
Repositorio de entrega a operación http://192.168.147.73:8081/administrador/PrismaEntregaOperacion/tree/master/</t>
  </si>
  <si>
    <t>Durante el segundo trimestre se realizaron siete (7) socializaciones:
1) 2 capacitaciones a usuario final a la Unidad de Atención al Ciudadano - UAC como parte de entrega a la puesta a producción de los módulos de gestión e inscripción
2) 5 Sesiones de entrega al equipo de Operaciones de la Dirección de Tecnología e Información. 
SESIÓN 1: Funcionalidades del Rol Coordinador de Diagramación, Gestor de Pruebas (Planes de construcción-consultas y Etiquetas) 
SESIÓN 2: Funcionalidades de la Fase de Construcción para los roles Constructor, Revisor y Gestor de Prueba
SESIÓN 3: Funcionalidades de la Fase de Diagramación para los roles Gestor de Prueba, Corrector de Estilo y Diagramador
SESIÓN 4: Funcionalidades Del Contexto del Roles Gestor de Prueba, Constructor y Revisor
SESIÓN 5: Funcionalidades de a Fase de Construcción para una Asociación para los roles Constructor, Revisor y Gestor de Prueba</t>
  </si>
  <si>
    <t>Repositorio proyecto de la Subdirección de Desarrollo de Aplicaciones (http://192.168.147.76/svn/misional/ - PRIVADO)
Repositorio de entrega a operación http://192.168.147.73:8081/administrador/PrismaEntregaOperacion/tree/master/</t>
  </si>
  <si>
    <t>Durante el segundo trimestre, se realizó la definición y ajustes de los siguientes lineamientos:
1. Lineamientos de diseño conceptual de bases de datos
2. Lineamientos de diseño físico de bases de datos
3. Lineamientos de desarrollo de bases de datos
4. Lineamientos de diseño administración de bases de datos</t>
  </si>
  <si>
    <t>http://192.168.147.76/svn/misional/Arquitectura/Formatos.
1. Lineamientos de diseño conceptual de bases de datos
Archivos: a. LDC_DisenoConceptual_BDR.docx y b. DA_Arquitectura_ProyectoXX.docx
2. Lineamientos de diseño físico de bases de datos
Archivos: a. DF_DisenoFisico_BDR_ProyectoXX.docx y b. LDF_DisenoFisico_BDR.docx
3. Lineamientos de desarrollo de bases de datos
Archivos: a. LDD_DesarrolloPLSQL_BDR.docx y b. Guia_SQL_Developer.docx
4. Lineamientos de diseño administración de bases de datos
Archivos: a. LDF_Migraciones_BDR.docx y b. LAI_AdministraciónInformación_BDR.docx</t>
  </si>
  <si>
    <t>Durante el segundo trimestre, se realizó la implementación de los siguientes servicios:
1. Autenticación por usuarios
2. Autenticación por documento
3. Autorización
4. Validación de token
5. Consulta de resultados individual
6. Consulta de resultados masivo</t>
  </si>
  <si>
    <t>Código fuente de servicios: http://192.168.147.76/svn/misional/Interoperabilidad/trunk/Implementacion/interoperabilidad-esb</t>
  </si>
  <si>
    <t>(7/1)*100= 64%</t>
  </si>
  <si>
    <t>(126/133)*100= 95%</t>
  </si>
  <si>
    <t>(2/3)*100 =67%</t>
  </si>
  <si>
    <t>(9/43)*100= 21%</t>
  </si>
  <si>
    <t>(Funcionalidades en producción socializadas/Funcionalidades en producción planeadas de socializar)*100</t>
  </si>
  <si>
    <t>(7/12)*100= 58%</t>
  </si>
  <si>
    <t>(5/20)*100= 25%</t>
  </si>
  <si>
    <t>(6/22)*100= 27%</t>
  </si>
  <si>
    <t>(3/10)*100=30%</t>
  </si>
  <si>
    <t xml:space="preserve">La Oficina de Control Interno en el mes de mayo  realizó seguimiento cuatrimestral a las actividades del PAAC , encontrando un promedio de cumplimiento del plan de 39%. Respecto al indicador se ejecutaron oportunamente 64 actividades de las 92 programadas logrando un avance del 70%. </t>
  </si>
  <si>
    <t>(7/17)*100=41%</t>
  </si>
  <si>
    <t xml:space="preserve">En el marco de la rendición de cuentas 2014-2018, el pasado 21 de mayo se realizó el debate sobre la evaluación de la educación en Colombia, un espacio de participación en el que se abordaron los temas que más le interesan a la ciudadanía y partes interesadas del Icfes. Se realizó encuesta de temas de interés y encuesta de evaluación al debate. Se generó informe desde la OCI. Se respondieron las solicitudes de información de la ciudadanía
</t>
  </si>
  <si>
    <t xml:space="preserve">Se han ejecutado las actividades:
Promover el uso de los resultados de las pruebas aplicadas por el Instituto en investigaciones 
Realizar : Encuesta de temas de interés de la ciudadanía sobre la gestión institucional
Divulgar y convocar a la ciudadanía para que participe en temas de interés de la gestión del Icfes a través de redes sociales.
Realizar el ejercicio de Rendición de Cuentas del ICFES 
Informar al público objetivo temas de interés del Icfes
Elaborar documentos informativos orientados a medios de comunicación y gestionar entrevistas. Divulgación de pruebas de Estado y sus procesos
Mantener actualizado el portal institucional. 
</t>
  </si>
  <si>
    <t>Plan de participación ciudadana, avance del PAAC</t>
  </si>
  <si>
    <r>
      <t xml:space="preserve">DISEÑAR, ACTUALIZAR Y HACER SEGUIMIENTO AL PLAN ESTRATÉGICO DE TALENTO HUMANO. </t>
    </r>
    <r>
      <rPr>
        <sz val="11"/>
        <rFont val="Calibri "/>
      </rPr>
      <t>Esta actividad apunta a las rutas de la felicidad, ruta del crecimiento y ruta del servicio.</t>
    </r>
  </si>
  <si>
    <r>
      <t>FORTALECIMIENTO Y DESARROLLO DEL TALENTO HUMANO:</t>
    </r>
    <r>
      <rPr>
        <sz val="11"/>
        <rFont val="Calibri "/>
      </rPr>
      <t xml:space="preserve"> </t>
    </r>
    <r>
      <rPr>
        <b/>
        <sz val="11"/>
        <rFont val="Calibri "/>
      </rPr>
      <t>Diseño y ejecución del Plan de Capacitación</t>
    </r>
    <r>
      <rPr>
        <sz val="11"/>
        <rFont val="Calibri "/>
      </rPr>
      <t>. Esta actividad apunta a las rutas del crecimiento, ruta del servicio</t>
    </r>
  </si>
  <si>
    <r>
      <rPr>
        <b/>
        <sz val="11"/>
        <rFont val="Calibri "/>
      </rPr>
      <t>DISEÑAR, ACTUALIZAR Y HACER SEGUIMIENTO AL PLAN  DE BIENESTAR E INCENTIVOS TALENTO HUMANO:</t>
    </r>
    <r>
      <rPr>
        <sz val="11"/>
        <rFont val="Calibri "/>
      </rPr>
      <t xml:space="preserve"> Esta actividad apunta a las rutas de la felicidad y ruta del servicio.</t>
    </r>
  </si>
  <si>
    <r>
      <rPr>
        <b/>
        <sz val="11"/>
        <rFont val="Calibri "/>
      </rPr>
      <t xml:space="preserve">DIRECCIONAMIENTO  PLANEACIÓN Y CARACTERIZACIÓN: Caracterización y Diagnóstico de los Servidores. </t>
    </r>
    <r>
      <rPr>
        <sz val="11"/>
        <rFont val="Calibri "/>
      </rPr>
      <t xml:space="preserve"> Esta actividad apunta a las rutas de la felicidad, ruta del servicio y ruta de la calidad.
</t>
    </r>
  </si>
  <si>
    <r>
      <rPr>
        <i/>
        <sz val="11"/>
        <rFont val="Calibri"/>
        <family val="2"/>
        <scheme val="minor"/>
      </rPr>
      <t xml:space="preserve"> # </t>
    </r>
    <r>
      <rPr>
        <sz val="11"/>
        <rFont val="Calibri"/>
        <family val="2"/>
        <scheme val="minor"/>
      </rPr>
      <t>de  servidores de Entidad Adscrita y/o Vinculada y su núcleo familiar caracterizados
_________________________________ x 100
# Total de servidores de Entidad Adscrita y/o Vinculada y su núcleo familiar a caracterizar</t>
    </r>
  </si>
  <si>
    <r>
      <rPr>
        <b/>
        <sz val="11"/>
        <rFont val="Calibri "/>
      </rPr>
      <t xml:space="preserve">SGSST: </t>
    </r>
    <r>
      <rPr>
        <sz val="11"/>
        <rFont val="Calibri "/>
      </rPr>
      <t>Desarrollar el plan de trabajo para el Sistema  de seguridad y salud en el trabajo y hacer medición y seguimiento a su impacto. Esta actividad apunta a las rutas de la felicidad, ruta de crecimiento y ruta de la calidad.</t>
    </r>
  </si>
  <si>
    <r>
      <rPr>
        <b/>
        <sz val="11"/>
        <rFont val="Calibri "/>
      </rPr>
      <t xml:space="preserve">VINCULACIÓN, DESARROLLO Y CRECIMIENTO Y DESVINCULACIÓN   LABORAL: </t>
    </r>
    <r>
      <rPr>
        <sz val="11"/>
        <rFont val="Calibri "/>
      </rPr>
      <t>Esta actividad apunta a las rutas del crecimiento, ruta de la calidad y ruta de análisis de datos.</t>
    </r>
  </si>
  <si>
    <r>
      <rPr>
        <b/>
        <sz val="11"/>
        <rFont val="Calibri "/>
      </rPr>
      <t xml:space="preserve">AMBIENTE Y CULTURA ORGANIZACIONAL: Actividades de clima y cultura, desarrollo, compensación y retiro. 
</t>
    </r>
    <r>
      <rPr>
        <sz val="11"/>
        <rFont val="Calibri "/>
      </rPr>
      <t xml:space="preserve"> Esta actividad apunta a las rutas de la felicidad, ruta del crecimiento y ruta del servicio.</t>
    </r>
  </si>
  <si>
    <r>
      <rPr>
        <b/>
        <sz val="11"/>
        <rFont val="Calibri "/>
      </rPr>
      <t>INTEGRIDAD: Código de integridad.</t>
    </r>
    <r>
      <rPr>
        <sz val="11"/>
        <rFont val="Calibri "/>
      </rPr>
      <t xml:space="preserve"> Esta actividad apunta a las rutas  del crecimiento, ruta del servicio, ruta de la calidad</t>
    </r>
  </si>
  <si>
    <r>
      <rPr>
        <i/>
        <sz val="11"/>
        <rFont val="Calibri"/>
        <family val="2"/>
        <scheme val="minor"/>
      </rPr>
      <t xml:space="preserve"> # </t>
    </r>
    <r>
      <rPr>
        <sz val="11"/>
        <rFont val="Calibri"/>
        <family val="2"/>
        <scheme val="minor"/>
      </rPr>
      <t>de  actividades definidas en el Plan de trabajo ejecutadas
_________________________________ x 100
Total de actividades del Plan de trabajo</t>
    </r>
  </si>
  <si>
    <t>En el Comité Institucional de Gestión y Desempeño del 10 de abril de 2018, se aprobó la integración y publicación de los planes en el plan de acción institucional según decreto 612 de 2018. El Icfes, a través de la Oficina Asesora de Planeación, actualizó el Plan de Acción Institucional 2018 el 29 de junio, integrando en esta versión los 12 planes listados en el Decreto 612 de 2018 y relacionándolos en la dimensión correspondiente.</t>
  </si>
  <si>
    <t>Se realizó reunión con los responsables de la generación de información para el documento diagnóstico el 13/06/2018estipulando los contenidos y responsables, se avanzó con el análisis TASCOI y PESTEL</t>
  </si>
  <si>
    <t>Listado de asistencia. Presentaciónp power point(\\icfesserv5\planeacion$\2018\GESTION Y DESEMPEÑO\Plan de acción\Plan de Acción Institucional\Soportes modificaciones)Documento PESTEL y TASCOI (disponible en DARUMA)</t>
  </si>
  <si>
    <t>Se realiza seguimiento trimestral a las acciones estipuladas en el plan de acción institucional, en el presente archivo se tiene unahoja resumen (informe) para el monitoreo global a las acciones del plan. Estos resultados se publican en el link de transparencia y acceso a la información publica. Adicional se reportan las acciones que contribuyen al plan de sectorial</t>
  </si>
  <si>
    <t>(0/0)*100=100%</t>
  </si>
  <si>
    <t>No se requirieron reportes al Icfes</t>
  </si>
  <si>
    <t>V1: (Actividades ejecutadas Plan de accesibilidad Portal Icfes Interactivo: 0) + (Actividades ejecutadas Plan de accesibilidad Portal Integrado: 0): 0
V2: (Actividades  planeadas Plan de accesibilidad Icfes Interactivo: 36 )+(Actividades planeadas Plan de accesibilidad Portal Integrado: 36): 72
Resultado: 0%</t>
  </si>
  <si>
    <t xml:space="preserve">De las 24 actividades establecidas en el plan se han realizado 17 </t>
  </si>
  <si>
    <t>Las actividades y seguimientos correspondientes se encuentran registrados en el aplicativo de Daruma las cuales se registra el avance y las evidencias de su cumplimiento</t>
  </si>
  <si>
    <t>Soportes y evidencias en Daruma</t>
  </si>
  <si>
    <t>(17/24)*100=71%</t>
  </si>
  <si>
    <t>Acta de entrega de armado a la Dirección de Tecnología</t>
  </si>
  <si>
    <t>PISA for Schools 2018 - 1: se hizo Acta de entrega entre operadores de la Subdirección de Producción de Instrumentos y de la Subdirección de Aplicación de Instrumentos.
PISA 2018: evidencias en la plataforma del Consorcio. Se envió correo informando finalización del proceso de codificación a la Dirección de Producción y Operaciones.</t>
  </si>
  <si>
    <t>No aplica, no se tienen actividades programadas para segundo trimestre</t>
  </si>
  <si>
    <t xml:space="preserve">100%=(2 Pruebas Codificada/2Pruebas programadas para Codificación)*100
Se realizó codificación de las pruebas PISA for Schools 2018 - 1 y PISA 2018 </t>
  </si>
  <si>
    <t>(2/2)*100=100%</t>
  </si>
  <si>
    <t>100% =(1 Prueba Armada y Diagramada/ 1 Prueba programada para Armado y Diagramación)*100
Se realizó armado de TyT 2018 - 1</t>
  </si>
  <si>
    <t>(1/1)*100=100%</t>
  </si>
  <si>
    <t>(61*100)/121 =50%</t>
  </si>
  <si>
    <t>(80*100)/160 =50%</t>
  </si>
  <si>
    <t>(342/342)*100=100%</t>
  </si>
  <si>
    <t>(4/4 )*100=100%</t>
  </si>
  <si>
    <t>Documento en construcción</t>
  </si>
  <si>
    <t>Durante el segundo semestre se adecuaron los documentos anexos al procedimiento del equipo de Nuevos Negocios, en materia de Evaluación de Satisfacción y Lecciones Aprendidas, así como la ficha del proyecto. Por otro lado, se estructura y actualiza la información del Documento Modelo de Nuevos Negocios y se realiza una actualización de la información en compañía de todos los integrantes de equipo.</t>
  </si>
  <si>
    <t>\\Icfesserv5\planeacion$\2018\NUEVOS NEGOCIOS\Gestor de calidad</t>
  </si>
  <si>
    <t>Se efectuó la consolidación de la información remitida por las áreas misionales con base en el anteproyecto de presupuesto 2018 y se calculó el valor promedio de las actividades de la cadena de valor para cada una de las pruebas de Estado (Saber 11 y Saber Pro)</t>
  </si>
  <si>
    <t>Arc hivo en formato Excel</t>
  </si>
  <si>
    <t>Se definió que las Guías de orientación para actualización en la vigencia 2018 son: 
a. Saber 11 Calendario B 
b. Saber 11 Calendario A 
c. Saber TyT -1
d. Saber TyT-2
e. Saber Pro
f. PISA
g. Avancemos
h. Patrulleros</t>
  </si>
  <si>
    <t>A corte del primer semestre de 2018, se logró actualizar la guía de orientación del examen Saber TyT 1 y la guía de orientación del examen Saber 11 calendario B.
**Se modifica reporte de seguimiento del primer trimestre debido a error de transcripción</t>
  </si>
  <si>
    <t>(13/13)*100=100%</t>
  </si>
  <si>
    <t>De las 13 macroactividades planteadas se han ejecutado el 100%,  las actividades planteadas con constantes en cada uno de los trimestres. En el periodo informado se realizo:  actualización documental, análisis de contexto, actualización de indicadores, planes de mejoramiento, actualización metodólogia de riesgos, se realizó revisión por la dirección, caracterización de usuarios, registros de solida no conforme, entre otros.</t>
  </si>
  <si>
    <t>\\icfesserv5\planeacion$\2018\GESTION Y DESEMPEÑO\CALIDAD\PLANEACION ANUAL</t>
  </si>
  <si>
    <t xml:space="preserve">Preliminar: Documento con la metodología o procedimiento(s) y la estrategia </t>
  </si>
  <si>
    <t>Actividad incluida en la versión 3 del Plan, de acuerdo a plan sectorial</t>
  </si>
  <si>
    <t>(95/112)*100=85%</t>
  </si>
  <si>
    <t>PRUEBAS ADAPTATIVAS
Desde la Dirección de Evaluación, se adelantó la contratación del señor Mark Reckase, doctor en psiciología de la Universidad de Syracuse y profesor en teoría psicométrica de la Universidad de Michigan. El asesor internacional se ha especializado en el desarrollo de pruebas educativas y psicológicas relacionadas con la teoría psicométrica y ha realizado investigaciones sobre pruebas adaptativas computarizadas y teoría de respuestas multidimensionales de ítems, por lo cual, desde la Dirección de Evaluación se consideró el perfil adecuado para brindar asesoría técnica y dar cumplimiento a las actividades planteadas en el marco del proyecto de pruebas adaptativas.
Así las cosas, el equipo conformado por personal de la subdirección de estadísticas, diseño de instrumentos y la subdirección de desarrollo de aplicaciones; liderado por la Dirección de Evaluación, ha adelantado documentos y presentaciones de contextualización misional para el  asesor técnico y otorgar los insumos necesarios en la consolidación del proyecto, una caracterización de banco de ítems de la prueba como insumo para el desarrollo de las simulaciones, de igual forma, un informe de arquitectura tecnológica.
Por su parte, el consultor ha suministrado documentos con información preliminar de la Prueba de Matemáticas y de Ciencias Naturales en la prueba Pre-Saber (piloto), teniendo en cuenta metodología, longitud de la prueba, "ideal item pool" y evaluación de la calidad del funcionamiento de las pruebas CATs realizadas previamente. 
**Se modifica reporte de seguimiento del primer trimestre debido a error de transcripción</t>
  </si>
  <si>
    <t>1. Consolidar un estudio de mercado que determine la viabilidad  e impacto de la aplicación de pruebas adaptativas en el país.
2. Evaluación técnica (talento humano, hardware y software requeridos para la implementación del sistema)
3. Evaluar la implementación de otros métodos de estimación (métodos bayesianos EAP y MAP).
4. Socialización interna del proyecto, con el fin de evaluar el cumplimiento de objetivo de la plataforma e integración de los sistemas.
5. Probar/Implementar algoritmos de selección agrupada de ítems (Stratified Selectors).</t>
  </si>
  <si>
    <r>
      <t xml:space="preserve">De acuerdo a la proyección realizada para el primer semestre de 2018 se efectuó la aplicación de la prueba Saber 11B programada para el 25 de Febrero, cuyo resultados fueron los siguientes:
</t>
    </r>
    <r>
      <rPr>
        <b/>
        <sz val="11"/>
        <rFont val="Calibri"/>
        <family val="2"/>
      </rPr>
      <t>Primera sesión</t>
    </r>
    <r>
      <rPr>
        <sz val="11"/>
        <rFont val="Calibri"/>
        <family val="2"/>
      </rPr>
      <t xml:space="preserve">
* Examinandos citados:  92561
* Examinados presentes: 86309
* Examinados ausentes:6252  
</t>
    </r>
    <r>
      <rPr>
        <b/>
        <sz val="11"/>
        <rFont val="Calibri"/>
        <family val="2"/>
      </rPr>
      <t>Segunda sesión</t>
    </r>
    <r>
      <rPr>
        <sz val="11"/>
        <rFont val="Calibri"/>
        <family val="2"/>
      </rPr>
      <t xml:space="preserve">
* Examinandos citados:  92561
* Examinados presentes: 86222
* Examinados ausentes: 6339 
Conforme a la información anterior, el porcentaje de cumplimiento global con relación a la programación de actividades del plan de acción fue del 25% cumpliendo con la proyección y a nivel de la subdirección del 100% ya que se llevo a cabo la aplicación del examen conforme al cronograma establecido. </t>
    </r>
  </si>
  <si>
    <r>
      <t xml:space="preserve">De acuerdo a la proyección realizada para el primer semestre de 2018 se efectuó la aplicación de la Prueba Saber 11B extemporánea programada para el 08 de Abril y  la prueba Saber  TYT programada para el 24 de Junio, cuyos resultados fueron los siguientes:
</t>
    </r>
    <r>
      <rPr>
        <b/>
        <sz val="11"/>
        <rFont val="Calibri "/>
      </rPr>
      <t>Prueba Saber 11B</t>
    </r>
    <r>
      <rPr>
        <sz val="11"/>
        <rFont val="Calibri "/>
      </rPr>
      <t xml:space="preserve"> </t>
    </r>
    <r>
      <rPr>
        <b/>
        <sz val="11"/>
        <rFont val="Calibri "/>
      </rPr>
      <t>extemporánea</t>
    </r>
    <r>
      <rPr>
        <sz val="11"/>
        <rFont val="Calibri "/>
      </rPr>
      <t xml:space="preserve">
Primera sesión
* Examinandos citados:  7.209
* Examinados presentes: 6.632
* Examinados ausentes: 577  
Segunda sesión
* Examinandos citados: 7.209
* Examinados presentes: 6.637
* Examinados ausentes: 572 
</t>
    </r>
    <r>
      <rPr>
        <b/>
        <sz val="11"/>
        <rFont val="Calibri "/>
      </rPr>
      <t>Saber  TYT
*</t>
    </r>
    <r>
      <rPr>
        <sz val="11"/>
        <rFont val="Calibri "/>
      </rPr>
      <t xml:space="preserve"> Examinandos citados:  84.892
* Examinados presentes: 80.223
* Examinados ausentes: 4.669 </t>
    </r>
    <r>
      <rPr>
        <b/>
        <sz val="11"/>
        <rFont val="Calibri "/>
      </rPr>
      <t xml:space="preserve"> </t>
    </r>
    <r>
      <rPr>
        <sz val="11"/>
        <rFont val="Calibri "/>
      </rPr>
      <t xml:space="preserve">
De acuerdo a la información anterior, el porcentaje de cumplimiento global con relación a la programación de actividades del plan de acción fue del 50% conforme con la proyección y a nivel de la subdirección del 100% ya que se llevo a cabo la aplicación de los dos exámenes según el cronograma establecido. </t>
    </r>
  </si>
  <si>
    <t>CONTROL DE CAMBIOS AL PLAN DE ACCIÓN</t>
  </si>
  <si>
    <t>Versión 1</t>
  </si>
  <si>
    <t>Versión 2</t>
  </si>
  <si>
    <t>Versión 3</t>
  </si>
  <si>
    <t>Versión 4</t>
  </si>
  <si>
    <t>Versión 0</t>
  </si>
  <si>
    <t>Fecha</t>
  </si>
  <si>
    <t xml:space="preserve">Se formuló  el Plan de Acción Institucional, el cual fue puesto a consideración de la ciudadanía del 25 al 30 de enero de 2018 mediante la página web (externo) y correo electrónico (interno). </t>
  </si>
  <si>
    <t>Áreas afectadas</t>
  </si>
  <si>
    <t>Todas</t>
  </si>
  <si>
    <t>Ninguna</t>
  </si>
  <si>
    <t>Publicación final en página web, no se recibieron comentarios u obervaciones al plan de acción</t>
  </si>
  <si>
    <t>Versión</t>
  </si>
  <si>
    <t>Cambios relizados</t>
  </si>
  <si>
    <t>Soportes</t>
  </si>
  <si>
    <t>\\icfesserv5\planeacion$\2018\GESTION Y DESEMPEÑO\PAAC\Soportes publicación previa</t>
  </si>
  <si>
    <t>Se modificaron metas de indicadores financieros a solicitud del Subdirector Financiero y Contable</t>
  </si>
  <si>
    <t>\\icfesserv5\planeacion$\2018\GESTION Y DESEMPEÑO\Plan de acción\Plan de Acción Institucional\Soportes modificaciones V4</t>
  </si>
  <si>
    <t>Radicado solicitud No. 20182400048853
Radicado respuesta No. 20181200049343</t>
  </si>
  <si>
    <t>Radicado solicitud No. 20181300049223
Radicado respuesta No. 20181200050573</t>
  </si>
  <si>
    <t>Se modificaron metas del III trimestre de actividades de Control interno a solicitud de la Jefe de Oficina de Control Interno</t>
  </si>
  <si>
    <t>Pendiente memorando 
Correo electrónico del 09/07/2018</t>
  </si>
  <si>
    <t>Radicado solicitud No. 2018300004863
Radicado respuesta No. 20181200049303</t>
  </si>
  <si>
    <t>Se modificó actividad y meta del IV trimestre a una actividad  a cargo de la Directora de Evaluación</t>
  </si>
  <si>
    <t>Por error de trascripción en los cambios versión 3 se modificaron metas de la UAC</t>
  </si>
  <si>
    <t>Se eliminaron actiovidades repetidas a solicitud de la Jefe de Oficina de Investigaciones</t>
  </si>
  <si>
    <t>OGPI</t>
  </si>
  <si>
    <t>Correo electrónico del 06/07/2018</t>
  </si>
  <si>
    <t>Correo electrónico del 18/06/2018</t>
  </si>
  <si>
    <t>\\icfesserv5\planeacion$\2018\GESTION Y DESEMPEÑO\Plan de acción\Plan de Acción Institucional\Soportes modificaciones V3</t>
  </si>
  <si>
    <t>Por error de trascripción de información en la versión 3 se modifican las formulas del componente Retroalimentación de Pruebas y Resultados de la dimensión de Direccionamiento estrategico</t>
  </si>
  <si>
    <t xml:space="preserve">IES nuevas en la convocatoria:
# de IES nuevas que presentan propuestas/número de IES que presentan propuestas en la convocatoria
</t>
  </si>
  <si>
    <t>&gt;30%</t>
  </si>
  <si>
    <t>Aún no se ha hecho la medición porque es anual</t>
  </si>
  <si>
    <t>Dada la retroalimentación entregada a las propuestas preseleccionadas, se puso a consideración del Comité Asesor las propuestas y se seleccionaron los 9 ganadores</t>
  </si>
  <si>
    <t>Carpeta compartida en Drive con propuestas ganadoras de grupos (https://drive.google.com/drive/u/1/folders/1ohP_1xGSJ-JheXXk-O-2VCV6z5cUn71u?ogsrc=32) y de estudiantes de posgrado (https://drive.google.com/drive/u/1/folders/16uWHfIPGPBEZcj5dafrYx6uKwbCCO1js?ogsrc=32)</t>
  </si>
  <si>
    <t>Una vez seleccionadas las propuestas ganadoras y perfeccionados los contratos, se le asigna asesores Icfes a cada una de las propuestas.</t>
  </si>
  <si>
    <t xml:space="preserve">Comunicaciones (vía mail) con las respectivas asignaciones de asesores </t>
  </si>
  <si>
    <t>Envío masivo de correos electrónicos, publicación de Términos de Referencia en página web y divulgación por redes sociales</t>
  </si>
  <si>
    <t>Calendario de fechas importantes (http://www.icfes.gov.co/investigadores-y-estudiantes-posgrado/calendario-de-fechas-importantes)
Información página web (http://www.icfes.gov.co/investigadores-y-estudiantes-posgrado/convocatorias-icfes-de-investigacion)</t>
  </si>
  <si>
    <t>Se recibieron 18 propuestas en el marco de las convocatorias y se empezó el proceso de revisión y selección de ganadores.</t>
  </si>
  <si>
    <t>Carpeta con propuestas de investigación (https://drive.google.com/drive/u/1/folders/1TBkB3kZ45r6KYXsNcBJU55Z0NToK7EUR?ogsrc=32)</t>
  </si>
  <si>
    <t>Divulgación de piezas de comunicación en página web, mailing,  divulgación de piezas de comunicación en redes socialies</t>
  </si>
  <si>
    <t>Divulgación página web (http://www.icfes.gov.co/investigadores-y-estudiantes-posgrado/seminario-internacional-de-investigacion) y correos masivos a anteriores participantes y distintas asosiaciones educativas</t>
  </si>
  <si>
    <t>Acercamientos con el operador logístico del evento para definir proceso de contratación.</t>
  </si>
  <si>
    <t>La evidencia la tiene la Subdirección de Abastecimiento</t>
  </si>
  <si>
    <t xml:space="preserve">Seguimiento quincenal a las investigaciones que se adelantan en la OAGPI y presentación de algunas investigaciones a la Dirección General. </t>
  </si>
  <si>
    <t>Presentaciones y actas de reuniones quincenales y presentación realizada a la Dirección General. (https://drive.google.com/drive/u/1/folders/1HP6w8a87JrLQDBLMhJSnzUnJac1DsioF?ogsrc=32
https://drive.google.com/drive/u/1/folders/16LPyA2n6-CGhAXXot18f3jLWOjylJP27?ogsrc=32)</t>
  </si>
  <si>
    <t>(5/5)*100=100%</t>
  </si>
  <si>
    <t>En este trimestre se hicieron adelantos con respecto al motor adaptativo de las 5 subpruebas que componen la prueba PreSaber, lo que permitió el cumplimiento total del indicador de la actividad. Así mismo, en el marco de la asesoría del consultor internacional, se realizó  un taller de dos días en el mes agosto dirigido al personal de las tres subdirecciones de la Dirección de Evaluación en el cual se abordó el tema de Pruebas Adaptativas y TRI (Teoría de respuesta del ítem).
Cabe resaltar, que se acordó con la OAP realizar un ajuste en cuanto a las actividades establecidas para el proyecto como tal, teniendo en cuenta que no se alcanzarían a tener todas la condiciones necesarias para efectuar el piloto de manera efectiva en agosto; de esta forma se estableció que en el mes de febrero de 2019 se realizará la aplicación piloto de esta prueba adapatativa, logrando en este tiempo  mejorar aspectos técnicos del CAT-Icfes tales como la inclusión de servicios (recordar examinado, recordar ítem, puntaje global al final de la prueba, carga de items desde el inicio), y de la plataforma Plexi.</t>
  </si>
  <si>
    <t>Carpeta compartida de Drive. Organización de parte técnica del código (Subdirección de Estadísticas) https://drive.google.com/drive/folders/1p1N6qTWgfptRfqOOTAWVpRQzhqBwaqas 
Productos entregados por el profesor Mark Reckase en el marco contractual (CPS 135 de 2018)</t>
  </si>
  <si>
    <t>(2/3)*100=66,6%</t>
  </si>
  <si>
    <t>El 12 de agosto se llevó a cabo el examen Saber 11, Pre Saber y Validación. Calendario A, para lo cual se realizó monitoreo en las ciudades de Cali, Pasto, Pererira, Cartagena, Duitama, Manizales y Bucaramanga, así como en la ciudad de Bogotá cinco (5) profesionales de la Subdirección de Diseño de Instrumentos y el asesor internacional Richard Shavelson realizaron el proceso de observación en diferentes instituciones educativas, especialmente en el desarrollo de la aplicación del examen a personas con discapacidad, con el fin de analizar los procedimientos asociados.
Teniendo en cuenta lo anterior, se da cumplimiento a la meta del tercer trimestre del año.</t>
  </si>
  <si>
    <t xml:space="preserve">En el desarrollo tercer trimestre, en el marco contractual, se recibió a satisfacción el producto entregado por el asesor Richard Shavelson: "Informe de diagnóstico relacionado con el diseño, evaluación y análisis de los resultados de las pruebas de Estado para estudiantes con discapacidad" (CPS 136 de 2018). Así mismo, para el mes de agosto, el asesor internacional, realizó un acompañamiento en el proceso de observación y monitoreo de la aplicación Saber 11 calendario A en la ciudad de Bogotá con el fin de identificar en detalle el desarrollo del examen de Estado especialmente para la población con discapacidad, emitiendo un resumen de dificultades en el acceso y adaptaciones en la aplicación de la prueba a estos estudiantes. De igual manera, en el marco de la asesoría internacional, se realizaron en el mes de agosto cuatro charlas académicas sobre evaluación de población con discapacidad (Diseño universal) e innovación en la medición de resultados no cognitivos en la educación superior, dirigidas a los diferentes equipos de la Dirección de Evaluación y sus subdirecciones, permitiendo una contextualización técnica de estos tipo de procesos a implementar.  </t>
  </si>
  <si>
    <t xml:space="preserve">Productos entregados por el asesor en el marco contractual, presentaciones y seguimiento a las reuniones se encuentran en el siguiente link de Dropbox , al cual tienen acceso los miembros del equipo de trabajo y el profesor: 
https://www.dropbox.com/home/ICFES_Disabilities
</t>
  </si>
  <si>
    <t>1 pruebas calificadas con 3PL/1 Pruebas a calificar con 3PL=100%</t>
  </si>
  <si>
    <t xml:space="preserve">Se realizó la asignación de puntajes de las pruebas Saber TyT 2018-1,  de acuerdo al modelo de 3PL, con su respectiva calibración, y manuales de procesamiento. 
Las entrega de las bases de datos con asignación de puntajes de saber TyT a mediados de mayo. </t>
  </si>
  <si>
    <t>Como evidencia se cuentan con archivos txt de las salidas de los programas que permiten la asignación de puntajes, con la configuración de 3PL. 
Asignación de puntajes de las pruebas: \\icfesserv5\academica$\ECAES_EK\ECAES_2018\EK20181</t>
  </si>
  <si>
    <t>Indicador semestral (C6.I01 y C6.I02)</t>
  </si>
  <si>
    <r>
      <t xml:space="preserve">Se ha avanzado en el desarrollo de los análisis sobre: análisis de comportamiento diferencial, aumento de datos, análisis estadístico del armado, análisis factoriales exploratorios y confirmatorios.
</t>
    </r>
    <r>
      <rPr>
        <sz val="11"/>
        <rFont val="Calibri "/>
      </rPr>
      <t>Para saber 359, se hizo el análisis de diseño de la prueba por medio de escalamiento vertical.</t>
    </r>
  </si>
  <si>
    <r>
      <t xml:space="preserve">Se cuentan con documentos asociados al evento: se enviaron las siguientes investigaciones. Las evidencias sobre escala vertical son:                            </t>
    </r>
    <r>
      <rPr>
        <b/>
        <sz val="11"/>
        <rFont val="Calibri "/>
      </rPr>
      <t>\\icfesserv5\academica$\SABER\SABER_2017\VerticalScaling\Documentos</t>
    </r>
  </si>
  <si>
    <t>5 tareas realizadas/ 5 tareas planeadas= 1; 100% de actividades ejecutadas</t>
  </si>
  <si>
    <t xml:space="preserve">En el tercer semestre del presente año para las pruebas internacionales se ha realizado las siguientes actividades:
PISA: Se realizaron las validaciones solicitadas por el consorcio y se consolidaron las plantillas para dicha tarea.
PISA4sch: Se han enviado de reportes de agregados de la calificación del 2017_2 al consorcio para su revisión y aprobación del mismo. A demás, se hizo la calificación de la prueba principal 2018_I, tambien se realizó, la actualización de script para la validación de formatos, de selección de muestra y generación formatos de aplicación
TP_link: Se realizaron las validaciones sobre el proyecto del estudio principal sugeridas por el consorcio, consolidándose el proyecto final.
TALISTVS Se continuo con el muestreo de los salones  y el monitoreo del  estudio según  el cronograma de aplicaciones establecido.
ERCE: Se realizo la recepción de la información, el muestreo de los salunes,  se entrego a la dirección las biblias, se realizo la aplicación y capacitación de los digitadores de la prueba, estamos en la espera de las bases de digitación para iniciar el proceso de validación de las mismas.
SESS: Se  hizo la entrega de la versión final del marco de SESS, así como los formatos solicitados por el consorcio para el mismo. Hicimos la recepción de la muestra de colegios, la cual fue validada. </t>
  </si>
  <si>
    <r>
      <t xml:space="preserve">las evidencias se encuentran en la carpeta drive 
https://drive.google.com/open?id=1fTg9h8Ibsrx2xP39cALCfLZTgcjv9ybd               </t>
    </r>
    <r>
      <rPr>
        <b/>
        <sz val="11"/>
        <color theme="1"/>
        <rFont val="Calibri "/>
      </rPr>
      <t>\\icfesserv5\academica$\ERCE</t>
    </r>
    <r>
      <rPr>
        <sz val="11"/>
        <color theme="1"/>
        <rFont val="Calibri "/>
      </rPr>
      <t xml:space="preserve"> </t>
    </r>
  </si>
  <si>
    <r>
      <rPr>
        <sz val="11"/>
        <color theme="1"/>
        <rFont val="Calibri "/>
      </rPr>
      <t xml:space="preserve">Se realizó el procesamiento y calificación de Saber PRO, Saber TyT  2018,y Saber PRO Exterior para le mes de agosto, así como se inició con la  construcción de calibraciones (primera etapa) para armado de la prueba). </t>
    </r>
    <r>
      <rPr>
        <sz val="11"/>
        <color rgb="FFFF0000"/>
        <rFont val="Calibri "/>
      </rPr>
      <t xml:space="preserve">
</t>
    </r>
    <r>
      <rPr>
        <sz val="11"/>
        <rFont val="Calibri "/>
      </rPr>
      <t xml:space="preserve">Se ordenan los ítems por dificultad y se les asigna una posición en el modulo y se inicia con el porcentaje de respuestas incorrectas por afirmaciones.
Adicionalmente se realizaron las actividades de recalificación de casos particulares por directriz de la Subdirección de Producción de Instrumentos, los cuales presentaron inconsistencias por la codificación de pregunta abierta. </t>
    </r>
  </si>
  <si>
    <t>Los documentos de tablas de publicación, archivos de procesamiento, manuales de procesamiento e informe de calificación se encuentra en la carpeta compartida de la Subdirección de Estadísticas, en este link \\icfesserv5\academica$\ECAES\2018_1\Calificación</t>
  </si>
  <si>
    <t>3656059871/(3656059871+342798664174)= 1.06%</t>
  </si>
  <si>
    <t>El indicador refleja la política de ejecución y pagos a proveedores  y contratistas al 30 09 2018, consistente en mantenerse  al día en el pago de obligaciones; concluyendo, que  la entidad tiene un nivel mínimo de endeudamiento</t>
  </si>
  <si>
    <t>Balance de prueba parcial al 30 09 2018 en archivo digital área contable; ERP ORACLE/ Balance de prueba.</t>
  </si>
  <si>
    <t>(2590613)/(3656059871) =0.07%</t>
  </si>
  <si>
    <t>Este indicador refleja un bajo nivel de contribución por carga impositiva, toda vez que la entidad no es contribuyente del impuesto de renta y complementarios y con respecto al IVA, los servicios de evaluación son excluidos de este tributo</t>
  </si>
  <si>
    <t>(1679065562)/(123246768880) = 1.36 %</t>
  </si>
  <si>
    <t>El indicador refleja que la entidad dispone de suficientes recursos de liquidez para atender la obligaciones con proveedores  y contratistas al 31 09 2018,  concluyendo que la entidad tiene un alto volumen de recursos corrientes</t>
  </si>
  <si>
    <t>(3230892614)/(3656059871) = 88.37%</t>
  </si>
  <si>
    <t>(3656059871)/(342798664174)  = 1.07%</t>
  </si>
  <si>
    <t>El indicador refleja un bajo nivel de apalancamiento de la entidad sin necesidad de recurrir a endeudamiento con Banca o proveedores. Esto obedece al óptimo nivel de recursos en activos corrientes y de efectivo, lo cual  permite  atender el 100%  del total de sus pasivos</t>
  </si>
  <si>
    <t>(78926185081)/(24665942177) = 3.2 veces</t>
  </si>
  <si>
    <t>La productividad del Activo Fijo para el tercer trimestre refleja un avance sustancial al pasar la relación ( ventas vs Activos Fijos) de  1.97 a 3.20 veces, debido al comportamiento del recaudo y facturación por prestación de servicios de evaluación</t>
  </si>
  <si>
    <t>(145566870043/173748726901)=84%</t>
  </si>
  <si>
    <t>En lo corrido del año se ha logrado recaudar el 84% del total de la meta propuesta para la vigencia.  Los ingresos corrientes y dentro de ellos el recaudo por concepto de pruebas, así como los proyectos especiales son  el rubro más representativo con $81.961 millones de pesos.</t>
  </si>
  <si>
    <t>Los ingresos recibidos por parte de la entidad, se pueden ver reflejados en la ERP vigente y en las cuentas bancarias e inversiones de la misma.  
En la página www.icfes.gov.co.transparencia  Númeral 5-Presupuesto, se encuentra la información mensual de ingresos y gastos del ICFES.</t>
  </si>
  <si>
    <t>29179794517/64620182809= 45%</t>
  </si>
  <si>
    <t>Se observa un avance sensible de los pagos en relación a los compromisos, si se compara con el avance del primer semestre del año, sin embargo los pagos efectuados no han alcanzado la meta establecida,  debido a que muchos contratos no se han ejecutado en los tiempos inicialmente acordados .</t>
  </si>
  <si>
    <t>Los pagos de Operación Comercial, se pueden ver reflejados en la ERP vigente y en las cuentas bancarias.  
En la página www.icfes.gov.co.transparencia  Númeral 5-Presupuesto, se encuentra la información mensual de ingresos y gastos del ICFES.</t>
  </si>
  <si>
    <t>22465613071/29200625021.5= 77%</t>
  </si>
  <si>
    <t xml:space="preserve">Con corte al tercer trimestre del año, se ha ejecutado el 77% de los gastos de funcionamiento.  En los gastos de personal se ha pagado el 85% de los compromisos adquiridos, mientras que en los gastos generales esa relación es del 68%.  </t>
  </si>
  <si>
    <t>Los pagos de funcionamiento  de la entidad, se pueden ver reflejados en la ERP vigente y en las cuentas bancarias.
En la página www.icfes.gov.co.transparencia  Númeral 5-Presupuesto, se encuentra la información mensual de ingresos y gastos del ICFES.</t>
  </si>
  <si>
    <t>9607994217/14378097795 = 67%</t>
  </si>
  <si>
    <t>Los pagos por gastos de inversión alcanzaron el 67% de los compromisos realizados.  Si se compara con el trimestre anterior se observa un avance del 21% logrando superar ampliamente la meta prevista.</t>
  </si>
  <si>
    <t>Los pagos de la entidad, se pueden ver reflejados en la ERP vigente y en las cuentas bancarias.  
En la página www.icfes.gov.co.transparencia  Númeral 5-Presupuesto, se encuentra la información mensual de ingresos y gastos del ICFES.</t>
  </si>
  <si>
    <t>108198905625.5/173748726901 = 62%</t>
  </si>
  <si>
    <t>Al finalizar el III trimestre del año, la Entidad ha comprometido el 62% del presupuesto de la vigencia.  Este ha sido impulsado principalmente por los gastos de funcionamiento, los cuales se han comprometido un 69% del total presupuestado</t>
  </si>
  <si>
    <t>Plan Estrátegico de Talento Humano</t>
  </si>
  <si>
    <t>(3,8*100)/5 = 75%</t>
  </si>
  <si>
    <t>Documento PIC</t>
  </si>
  <si>
    <t>(38*100)/50 =76%</t>
  </si>
  <si>
    <t xml:space="preserve">El porcentaje acumulado supera la meta </t>
  </si>
  <si>
    <t>Documento Plan de Bienestar</t>
  </si>
  <si>
    <t>(32*100)/ 32=100%</t>
  </si>
  <si>
    <t>Se cumplieron 32 actividades de las 32  programada para el segundo trimestre.</t>
  </si>
  <si>
    <t>Aplicativo de nómina Kactus finalizando migración a Payroll y bases de datos del programa de bienestar</t>
  </si>
  <si>
    <t>(91*100)/121 =75%</t>
  </si>
  <si>
    <t>Se cuenta con la totalidad de los funcionarios con diagnóstico en los componentes del PETH y la tercera parte con PDI finalizados</t>
  </si>
  <si>
    <t>Resultados de Kompe y PDI en archivo STH</t>
  </si>
  <si>
    <t>(120*100)/160 =75%</t>
  </si>
  <si>
    <t>Se incluyó presupuesto para concurso CNSC - 2019  en el anteproyecto de presupuesto</t>
  </si>
  <si>
    <t>Se realizaron las actividades de intervención de clima y cultura otganizacional - contrato Human</t>
  </si>
  <si>
    <t>Historia laborales y archivo de STH.</t>
  </si>
  <si>
    <t>(5*100)/6 =100%</t>
  </si>
  <si>
    <t>Se han adelantado 2 actividades:  torneo de futbol interno y concurso el servidor más integro</t>
  </si>
  <si>
    <t>Se realizó la evaluacion parcial o seguimiento al 100% de los funcionarios de CA.</t>
  </si>
  <si>
    <t>Historias laborales y consolidado STH</t>
  </si>
  <si>
    <t>Se realizó inducción a todas las personas vinculadas</t>
  </si>
  <si>
    <t>La actividad fue finalizada durante el segundo trimesre de 2018.</t>
  </si>
  <si>
    <r>
      <t xml:space="preserve">Se realizó la medición del indicador de satisfacción mensual para el segundo trimestre del año, en todos los Canales de Atención, en total se realizaron </t>
    </r>
    <r>
      <rPr>
        <sz val="11"/>
        <color rgb="FF000000"/>
        <rFont val="Calibri"/>
        <family val="2"/>
      </rPr>
      <t xml:space="preserve">46.220 </t>
    </r>
    <r>
      <rPr>
        <sz val="11"/>
        <rFont val="Calibri"/>
        <family val="2"/>
      </rPr>
      <t>encuestas, con una nota promedio de 4,47.</t>
    </r>
  </si>
  <si>
    <t>(4/4)*100=100%</t>
  </si>
  <si>
    <t>Se realizó la publicación y divulgación de la actualización del protocolo en el Sistema de Gestión de Calidad el dia 28 de agosto de 2018.</t>
  </si>
  <si>
    <t>*Correo de ICFES - Divulgación PROTOCOLO DE ATENCIÓN AL CIUDADANO</t>
  </si>
  <si>
    <t>(7,5/10)*100=75%</t>
  </si>
  <si>
    <t xml:space="preserve">Durante el tercer trimestre se llevaron a cabo dos reuniones con los líderes de la operación y el equipo supervisor del contrato:
1. Calibración agosto - 3 de sept de 2018
2. Calibración septiembre - 25 de sept de 2018
</t>
  </si>
  <si>
    <t xml:space="preserve">* Calendario calibración agosto - 3 de sept de 2018
* Calendario calibración septiembre - 25 de sept de 2018
</t>
  </si>
  <si>
    <t xml:space="preserve">Se participó en la cuarta Feria Nacional de Servicio al Ciudadano, que se llevó a cabo en: 
1. San Vicente del Caguán, Caquetá el 28 de julio de 2018
</t>
  </si>
  <si>
    <t>Informes Feria San Vicente del Caguán</t>
  </si>
  <si>
    <t>((103065-61428)/61428)*100=67,78</t>
  </si>
  <si>
    <t xml:space="preserve">Durante lo corrido del año 2018 incluyendo el tercer trimestre, respecto a año 2017 se evidencia un incremento de las interacciones del 67,78% cumpliéndose la meta propuesta para el Canal Electrónico.  
</t>
  </si>
  <si>
    <t>(154/154)*100=100%</t>
  </si>
  <si>
    <t>De 154 Instituciones que realizaron reclamaciones en el 2017, se realizó la gestión a 154, con el fin de garantizar el registro de los estudiantes. Es decir, se realizó el acompañamiento al 100 % de las instituciones educativas que reportaron problemas en anteriores convocatorias para la inscripción de pruebas Saber pro y Saber T y T.</t>
  </si>
  <si>
    <t>*Informe Acompañamiento Soporte a Registro Saber Pro-2018-2</t>
  </si>
  <si>
    <t xml:space="preserve">Durante el mes de agosto de 2018 se realizó la publicación de los informes de PQRs, Quejas y Reclamos y Solicitudes de acceso a la información, para el segundo trimestre de 2018. Los informes del tercer trimestre de 2018, se encuentran en proceso de consolidación y se publicaran en el portal Institucional durante el mes de octubre.
</t>
  </si>
  <si>
    <r>
      <t>De acuerdo con los resultados del Estudio de Percepción del Instituto relacionados con los canales de atención, se realizó el plan de mejoramiento No. PA1814-001 en el canal telefónico para mejorar la percepción de nuestros grupos de interés.</t>
    </r>
    <r>
      <rPr>
        <sz val="11"/>
        <rFont val="Calibri"/>
        <family val="2"/>
      </rPr>
      <t xml:space="preserve"> El 28 de agosto de 2018 se dio cierre efectivo.</t>
    </r>
  </si>
  <si>
    <t xml:space="preserve">Durante el tercer trimestre del año 2018, desde la Unidad de Atención al Ciudadano se realizaron en promedio 09 solicitudes mensuales de actualización de contenidos a la Oficina Asesora de Comunicaciones, con el fin de asegurar que los ciudadanos visualicen información, clara, oportuna y pertinente. </t>
  </si>
  <si>
    <t>A la fecha se encuentra actualizada la información para la totalidad de los trámites y servicios inscritos en el SUIT. Asimismo, se ha cargado la información de los datos de gestión de operación hasta el mes de Julio de 2018.</t>
  </si>
  <si>
    <t>(274 Accesos dados de alta/274 Contratos prestación de servicios)*100=100%</t>
  </si>
  <si>
    <t>Con corte a 30 de septiembre de 2018 se tiene 274 contratos vigentes de persona natural, los cuales se encuentran con accesos disponibles a las hojas de vida en SIGEP.</t>
  </si>
  <si>
    <t>(44 Accesos dados de baja/44 Contratos finalizados)*100=100%</t>
  </si>
  <si>
    <t>Se ha realizado la baja de 44 accesos los cuales se distribuyen de la siguiente manera: 
 24 bajas han sido por terminaciones anticipadas 
20 por finalización del contrato, todos registrados en SIGEP.</t>
  </si>
  <si>
    <t>(11 actividades ejecutadas del PGD/17 actividades programadas del PGD)*100=64%</t>
  </si>
  <si>
    <t>Instrumentos archivísticos desarrollados en el Trimestre:
1-Plan de preservación digital a largo plazo
2-Finalización de convalidación de las TRD con el Pre comité del Archivo General de la Nación</t>
  </si>
  <si>
    <t>(436/436)*100=100%</t>
  </si>
  <si>
    <t>De 436 contratos celebrados por la entidad, distribuidos de la siguiente manera : (6) Procesos de Contratación Abierta, (19) Procesos de Contratación Cerrados y (411) Procesos de Contratación Directa,  se encuentran registrados en la misma cantidad en la plataforma SECOP II, estableciendo así un cumplimiento del 100%</t>
  </si>
  <si>
    <t>(6 actividades ejecutadas del plan de Gestión Ambiental/6 Actividades programadas del plan de Gestión Ambiental)*100=100%</t>
  </si>
  <si>
    <t>Para el tercer trimestre del año 2018, se realizó las siguientes campañas:
1- Movilidad sostenible "Pedalea por Bogotá"
2- ICFES ON BIKE "Tips para el uso de la Bici" y "Seguridad vial"
3-Uso eficiente del papel "Asume tu papel"
Talleres:
1-Sketch "Atajo Fatal": Con el apoyo del grupo de teatro de la secretaria de movilidad se desarrollo la temática de seguridad vial
2-Pausa activa ambiental: Con el apoyo de la Secretaría  de Movilidad, se realizó la jornada de sensibilización "El manual del buen ciclista"
3-Jornada de sensibilización: Con el apoyo de la Secretaría Distrital de Ambiente sobre el manejo integral de residuos solidos-Separación en la fuente (Adecuado uso de los ecopuntos del Instituto).</t>
  </si>
  <si>
    <t xml:space="preserve">• Publicación de Informes de resultados de 2013 a 2015 de Factores Asociados: esta actividad ya no es posible realizarla debido a falta de información para poder comparar los datos históricos de esos años.
• Publicación de informe de Escuelas Efectivas: Para esta actividad realizamos el informe a partir de dos documentos y una revisión bibliográfica al rededor del área de Eficacia Escolar, así: 1 documento entregado por Ernesto Treviño de la Universidad de Chile, 2. Nota técnica del documento mencionado en el punto 1, de donde se recuperaron las líneas de regresión que no se apreciaban en el documento, 3. Revisión bibliográfica sobre el desarrollo de estudios de Eficacia Escolar,4. Diagramación del documento, 5 Y finalmente una revisión de estilo.
• Cuestionario de factores asociados para evaluación formativa por estudiante, docente y rector: Realizamos el pilotaje de los cuestionarios de Factores Asociados de los estudiantes en tres ciudades del país (Neiva, Quibdó, y Bogotá) con el fin de identificar datos pertinentes para establecer las escalas de calificación. 
• Adicionalmente realizamos el prototipo de reporte de resultados de FA, en el que se incluyen los escenarios propuestos por la Subdirección de Diseño de Instrumentos.
• También editamos los ítems en Prisma correspondientes a factores asociados para estudiantes y su respectiva validación en banco de ítems.
</t>
  </si>
  <si>
    <t>(9*100/12)=75%</t>
  </si>
  <si>
    <t xml:space="preserve">http://www.icfes.gov.co/instituciones-educativas-y-secretarias/pruebas-saber-3-5-y-9/documentos. Aunque se espera que se mueva al siguiente enlace: http://www.icfes.gov.co/instituciones-educativas-y-secretarias/pruebas-saber-3-5-y-9/documentos 
http://www2.icfes.gov.co/instituciones-educativas-y-secretarias/avancemos-4-6-y-8/preguntas-frecuentes-pre-inscripcion-2
https://drive.google.com/drive/u/0/folders/1-Xcey-5Xl5WiBViGOBMw1OYxc6Vh3WgE?ogsrc=32
</t>
  </si>
  <si>
    <t>Las actividades establecidas para este periodo han estado en constante desarrollo, sin embargo, la finalización de las mismas junto con sus evidencias, se obtendran en el ultimo trimestre del año.</t>
  </si>
  <si>
    <t>(41*100%)/58 =70%</t>
  </si>
  <si>
    <t>A través de la realización de seguimiento, auditorias y asesorías se ha dado cumplimiento, no obstante por solicitud del proceso, se realizó el aplazamiento de una auditoria programada. De las 58 acciones propuestas en el Plan Anual de Auditoría para toda la vigencia 2018, se han completado 41 acciones con corte al 30 de Septiembre.</t>
  </si>
  <si>
    <t>(4*100%)/5 =80%</t>
  </si>
  <si>
    <t xml:space="preserve">De 5 seguimientos programados en la vigencia, se han realizado cuatro seguimientos, de los cuales se han generado los correspondientes informes, dando cumplimiento a la acción planteada: 
1er seguimiento: Informe Plan de Mejoramiento con radicado No. 20181300018153 del 12/03/2018
2do seguimiento Radicado No. 20181300026593 del 16/04/2018
3er seguimiento Radicado  20181300044263 del 27/06/2018
4to seguimiento Radicado 20181300069253 del 02/10/2018 </t>
  </si>
  <si>
    <t>El Plan Estratégico de Tecnologías de la Información del Icfes fue actualizado en el primer trimestre. Durante este periodo no se generaron nuevas actualizaciones del documento.</t>
  </si>
  <si>
    <t>V1: Actividades realizadas: 4
V2: Actividades planeadas: 5
Resultado: 80%</t>
  </si>
  <si>
    <t xml:space="preserve">Actividades contempladas para el Dominio de Estrategia de TI: 
1. Definición de la Estrategia de TI
2. Definición de Indicadores para medir la estrategia de TI 
3. Elaboración del Catálogo de Servicios de TI
4. Elaboración del procedimiento de Gestión de la Estrategia de TI
5. Realización del cálculo frente a la medición de los Indicadores (trimestral y anual)
A la fecha de corte, se han realizado en su totalidad los numerales 1 al 4 y con respecto a la última actividad finalizará una vez se realice la medición anual y del siguiente trimestre. </t>
  </si>
  <si>
    <t>Resultado Indicador H5.I01 promedio del trimestre: 
85,57%
Meta mensual: 80%</t>
  </si>
  <si>
    <t>La Dirección de Tecnología e Información hace seguimiento a la ejecución de los proyectos de TI a través de reuniones periódicas y herramientas especializadas.</t>
  </si>
  <si>
    <r>
      <t xml:space="preserve">1. Documento de Estrategia de TI y medición de Indicadores </t>
    </r>
    <r>
      <rPr>
        <i/>
        <sz val="12"/>
        <rFont val="Arial"/>
        <family val="2"/>
      </rPr>
      <t xml:space="preserve">(https://docs.google.com/spreadsheets/d/1k4ntG948nl3Qi9zRKXxakmkOC5Od5dIRoGwXzNcHQF4/edit?pli=1#gid=1543838011) </t>
    </r>
    <r>
      <rPr>
        <sz val="12"/>
        <rFont val="Arial"/>
        <family val="2"/>
      </rPr>
      <t xml:space="preserve">
2. Procedimiento de Gestión de la Estrategia de TI
3. Catálogo de Servicios de TI v1.0
4. Portafolio de Servicios de TI v1.0</t>
    </r>
  </si>
  <si>
    <r>
      <t xml:space="preserve">Reporte indicador H5.I01 </t>
    </r>
    <r>
      <rPr>
        <i/>
        <sz val="12"/>
        <rFont val="Arial"/>
        <family val="2"/>
      </rPr>
      <t xml:space="preserve">Porcentaje de ejecución del cronograma de los proyectos </t>
    </r>
    <r>
      <rPr>
        <sz val="12"/>
        <rFont val="Arial"/>
        <family val="2"/>
      </rPr>
      <t>en la herramienta DARUMA.</t>
    </r>
  </si>
  <si>
    <t>V1: Pruebas aplicadas: 3
V2: Pruebas planeadas: 5
Resultado: 60%</t>
  </si>
  <si>
    <t>En el tercer trimestre del año, se realizó la aplicación de las pruebas Saber 11 Insor para 332 estudiantes y la prueba de Ascenso para Mayores de la Policía Nacional con 150 evaluados.
Se finalizó el desarrollo de los requerimientos para garantizar la presentación de las demás pruebas a aplicar en segundo semestre del año, que corresponden a: 
1. Avancemos 4°, 6° y 8° (2da. aplicación)
2. Saber PRO y Saber TyT en el exterior 
Así mismo, se continúa trabajando en los requerimientos para las pruebas del proximo año.</t>
  </si>
  <si>
    <t>https://docs.google.com/spreadsheets/d/1w8fh-Rq9DVaNUjxl_sT4ENAEPzARsYmVuh6_pMfnnOw/edit#gid=1456602387
http://www.icfes.gov.co/estudiantes-y-padres/saber-11-estudiantes/cronograma-y-tarifas-saber-11</t>
  </si>
  <si>
    <t>V1: Actividades ejecutadas del Plan: 32% Conocer y 29% Planear: 61%
V2: Actividades planeadas: 100%
Resultado: 61%</t>
  </si>
  <si>
    <t>Se formuló el Plan de implementación de la Política de Gobierno Digital para el Instituto, teniendo en cuenta los lineamientos definidos en el Manual de Gobierno Digital y lo dispuesto en el Decreto 1008 de 2018.</t>
  </si>
  <si>
    <t>Plan de implementación de la política de Gobierno Digital para el Icfes 2018</t>
  </si>
  <si>
    <t>V1: Actividades ejecutadas del Plan: 345
V2: Actividades planeadas: 437
Resultado: 79%</t>
  </si>
  <si>
    <t>1. Como acciones de apropiación del Sistema de Gestión de Seguridad, se enviaron piezas gráficas desde la oficina asesora de comunicaciones los días martes y a través del boletín el día viernes.
2. En el dominio de Seguridad Física y del Entorno, se realizó la limpieza y adecuación de los centros de cableados de los pisos 16 al 18
3. Respecto al dominio de Operación Segura:  
a. Se monitoreo el uso de la herramienta Password Manager.   
b. Se están validando las reglas en la herramienta dispuesta para la prevención de fuga de información (DLP, por sus siglas en inglés, Data Lost Prevention).
4. El proceso de pruebas de seguridad (Ethical Hacking) se encuentra en ejecución el  plan de identificación de vulnerabilidades técnicas.
5. Se realizó el GAP de cumplimiento de los controles actualmente establecidos en el Icfes y se hizo llegar a las áreas para sus mejoras.
6. Se publicó documentación de activos de informacióin (procedimiento, guía y herramienta).
7. Se publicaron los indicadores del Sistema de Gestión de Seguridad de la Información.</t>
  </si>
  <si>
    <t>V1: Actividades ejecutadas del Plan: 38
v2: Actividades planeadas en el Plan: 42
Resultado: 90%</t>
  </si>
  <si>
    <t>De acuerdo al Plan de Riesgos de Seguridad y Privacidad 2018 se han identificado los riesgos en todas las áreas y se encuentra en la fase de mitigación de los mismos.</t>
  </si>
  <si>
    <t xml:space="preserve">El Instituto cuenta con el Plan de Seguridad y Privacidad de la Información, el cual se encuentra en proceso de revisión de manera que incorpore los aspectos a tener en cuenta según el documento CONPES 3854 de 2016 y la Política de Gobierno Digital, respecto de las actividades asociadas a Seguridad Digital, para su correspondiente actualización. </t>
  </si>
  <si>
    <t>V1: Mantenimientos realizados: 18
V2: Mantenimientos programados: 30
Resultado: 60%</t>
  </si>
  <si>
    <t>En el tercer trimestre y de acuerdo al Plan de Mantenimiento de Servicios Tecnológicos, se han realizado los mantenimientos preventivos programados de UPS, en el marco del contrato N° 313 de 2018. Igualmente, los demás Servicios Tecnológicos se encuentran soportados y respaldados en sus mantenimientos a través de sus contratos vigentes de soporte y mantenimiento.</t>
  </si>
  <si>
    <t xml:space="preserve">Expedientes contractuales:
• Contrato N° 366 de 2017 - Mantenimiento preventivo de servidores y equipos de red.
• Contrato N° 313 de 2018 – Manteamiento preventivo de UPS
• Contrato N° 336 de 2015 – Soporte y mantenimiento infraestructura nube AWS
• Contrato N° 477 de 2017 – Soporte Google apps for works
• Contrato N° 342 de 2015, Acta de ejecución N° 2 – Soporte y mantenimiento conectividad y Datacenter
• Contrato N° 411 de 2018 – Soporte herramienta de backup BACKUP-EXE
• Contrato N° 300 de 2018 – Soporte sistema de seguridad perimetral Fortinet
• Contrato N° 411 de 2017 – Soporte licencia de seguridad equipos de cómputo Symantec
• Contrato N° 439 de 2017 – Soporte herramienta de gestión de recursos tecnológicos Aranda.
Archivo: Medición indicador Plan Mantenimiento de Servicios Tecnológicos Corte 20180930.xlsx
</t>
  </si>
  <si>
    <t>V1: Controles del SGSI implementados: 2 
V2: Controles del SGSI planeados a ser implementados: 4
Resultado: 50%</t>
  </si>
  <si>
    <t>Los controles del SGSI que serán implementados en el marco de ejecución del proyecto son: 
1. Control en cifrado (implementado)
2. Control en gestión de cambios
3. Control en administración de contraseñas
4. Matriz de riesgos (implementada)
Los controles que se encuentran pendientes serán desarrollados así: 
Control en gestión de cambios - Octubre de 2018 
Control en administración de contraseñas - Noviembre 2018</t>
  </si>
  <si>
    <t>V1: Seguimientos ejecutados al instrumentos del MSPI: 2
V2: Seguimientos planeados al instrumento del MSPI (Trimestral): 3
Resultado: 67%</t>
  </si>
  <si>
    <t>Se encuentra pendiente de realizar la última medición, la cual está programada para el último trimestre del año.</t>
  </si>
  <si>
    <t xml:space="preserve">El Comité de Gobierno de Datos se aprueba en la sesión del Comité de Gestión y Desempeño Institucional de Julio de 2018. </t>
  </si>
  <si>
    <t xml:space="preserve">El Comité de Gobierno de Datos se aprueba en la sesión del Comité de Gestión y Desempeño Institucional de Julio de 2018, se encuentre en proceso de recolección de firmas el acta correspondiente. </t>
  </si>
  <si>
    <t>V1: Documentos definidos y documentados: 0
V2: Documentos previstos definir y documentar: 16
Resultado: 0%</t>
  </si>
  <si>
    <t xml:space="preserve">La documentación fue aprobada por el Subdirector de Información en su rol de Líder de Gobierno. La documentación fue entregada al Director de Tecnología e Información el 20 de septiembre.Se encuentra pendiente de formalizar la misma en el aplicativo DARUMA, para dar por cumplido el indicador de la actividad, en el marco de la aprobación y adopción del Sistema de Gestión y Gobierno de Datos. </t>
  </si>
  <si>
    <t>1.   Manual del Sistema de Gestión y Gobierno de Datos 2018.docx   -- Documenta los 10 principios del SGGD
2.   Política Gestion de aprovisionamiento de datos.docx
3.   Politica Gestion de datos maestros.docx
4.  Politica Gestion de metadatos.docx
5.  Política Gestion de calidad de datos.docx
6.  Política Gestión de incidencias.docx
7.  Política Gestion del cambio.docx</t>
  </si>
  <si>
    <t>V1: Documentos definidos y documentados: 0
V2: Documentos previstos definir y documentar: 4
Resultado: 0%</t>
  </si>
  <si>
    <t>1.  Proceso Gestión y gobierno de datos.docx
2.  Procedimiento Medicion y mejora continua SGGD
3.  Procedimiento Uso y explotacion de datos.docx
4.  Procedimiento Administración de EI y control QA.docx</t>
  </si>
  <si>
    <t>V1: Indicadores definidos: 0
V2: Indicadores previstos: 3
Resultado: 0%</t>
  </si>
  <si>
    <t>1.  Indicador Nivel de madurez.xlsx
2.  Indicador Seguimiento a mesas tecnicas GD.xlxs
3.  Indicador Hallazgos de calidad de datos.xlxs
4.  Indicador Cumplimiento de objetivo del grupo de trabajo.xlxs
5.  Indicador Datos maestros implementados.xlxs</t>
  </si>
  <si>
    <t>V1: Plan de trabajo de evaluación de accesibilidad ejecutado: 2
V2: Plan de trabajo de evaluación de accesibilidad del Portal Icfes Interactivo y Portal Integrado planeado: 2
Resultado: 100%</t>
  </si>
  <si>
    <t>Como se informó en el corte pasado, se realizó la evaluación manual y automática de accesibilidad AA para todas las aplicaciones que conforman el Portal Icfes Interactivo.</t>
  </si>
  <si>
    <t>V1: Actividades ejecutadas Plan de accesibilidad Portal Icfes Interactivo: 2,5
V2: Actividades planeadas Plan de accesibilidad Portal Icfes Interactivo: 36
Resultado: 7%</t>
  </si>
  <si>
    <t>De acuerdo con el plan de trabajo de validación de usabilidad y accesibilidad del portal Icfes Interactivo, la corrección de errores está enfocada a la verificacion de las aplicaciones del portal Icfes Interactivo y se encuentra prevista para éste semestre del año; al corte del  III trimestre, se han revisado 2 aplicaciones de un total de 28 aplicaciones que son pertinentes para la validación de los lineamientos de la Norma NTC 5854-Accesibilidad a páginas web, donde se están realizando las siguientes actividades:
- Evaluación manual y automática.
- Estandarización de gráfica web: Aplicar template con elementos como H1, H2, entre otros, donde se organizan las páginas para dar unidad visual acorde a la imagen institucional del Icfes (Plantilla maneja elementos base que incorporan lineamientos de accesibilidad).
- Seguimiento cumplimiento de lineamientos.
- Actualizar y publicar en Arquitectura Empresarial el resultado de la evaluación, los ajustes realizados con los NO realizados y el porque de la no realización.
- Revisión creación nuevas páginas.
En éste momento las dos aplicaciones validadas se encuentran pendientes de la publicación de cambios en el ambiente de pruebas para revisión y posteriormente, despliegue en ambiente productivo. Por otro lado, la corrección de errores del portal Icfes Interactivo va a ser incluida en el proyecto Portal Integrado.</t>
  </si>
  <si>
    <t>Archivo compartido en Drive: Listado aplicaciones definitivo usabilidad y accesibilidad - 2018</t>
  </si>
  <si>
    <t>V1: Actividades ejecutadas Plan de accesibilidad Portal Integrado: 14,5
V2: Actividades planeadas Plan de accesibilidad Portal Integrado: 36
Resultado: 40%</t>
  </si>
  <si>
    <t>El cumplimiento de los 36 criterios de conformidad para certificar el nivel de accesibilidad AA en el Portal Integrado del Icfes, se encuentra definido en el cronograma del proyecto para ser ejecutado en el segundo semestre de éste año, una vez se ponga en ambiente de pruebas el nuevo portal; de acuerdo al avance del proyecto Portal Integrado,  se encuentra al corte del III trimestre con un porcentaje de avance de un 40% en la actividad de Implementación que incorpore los lineamientos de Accesibilidad en el portal Integrado, donde se realizó el aprovisionamiento del ambiente de pruebas de Liferay DXP con un backup actualizado a la fecha del 19 de septiembre de los 4 portales de la entidad.</t>
  </si>
  <si>
    <t>V1: Medición de lineamientos evaluados del componente de TIC para Gestión: 3
V2: Medición de lineamientos establecidas del componente de TIC para Gestión: 4
Resultado: 75%</t>
  </si>
  <si>
    <t xml:space="preserve">Se definió realizar una medición trimestral del avance en la implementación de los lineamientos del Marco de Referencia. Es decir 4 mediciones al año. (Este indicador mide la ejecución de las mediciones más no el nivel de cumplimiento que de acuerdo con el instrumento es del 78%) 
Al finalizar este trimestre, se han realizado tres (3) mediciones, la última con corte al 30 de Septiembre de 2018. En este medición, se usó un instrumento de elaboración propia que mide dos (2) temas, en primer lugar, los aspectos que se deben tener en cuenta para determinar que el lineamiento se está cumpliendo y agregan valor, y en segundo lugar, el nivel de formalización de las evidencias en el SGC de que el lineamiento se está cumpliendo. </t>
  </si>
  <si>
    <t>4. TABLERO DE CONTROL DE IMPLEMENTACIÓN DE ATI - Arquitectura de TI</t>
  </si>
  <si>
    <t>Se desarrolló la primera versión del procedimiento de gestión del esquema de Gobierno de TI que se encuentra en revisión por parte de la Subdirectora de Desarrollo de Aplicaciones para sus posteriores ajustes, aprobación e implementación. 
Se identificó la estructura funcional AS-IS con corte a 30 de Septiembre de 2018. 
Se han elaborado la definición de 4 roles de la estructura funcional TO-BE  y un documento de obligaciones transversales
Para el cuarto trimestre se tiene previsto: 
1. Definir la estructura funcional de TI TO-BE
2. Construir la definición de perfiles del 100% de los roles 
3. Establecer los roles y responsabilidades del Comite de Arquitectura Empresarial.</t>
  </si>
  <si>
    <t>5.Procedimiento de Gestión del Esquema de Gobierno de TI
6. ESTRUCTURA FUNCIONAL AS-IS
7. Definicion de perfiles</t>
  </si>
  <si>
    <t xml:space="preserve">Se identificaron los componentes de información de los procesos de apoyo, de acuerdo con lo planeado en el Catálogo de Componentes de Información. 
Se tiene previsto en el cuarto trimestre la actualización de los componentes de información de los procesos estratégicos. </t>
  </si>
  <si>
    <t>V1: Actividades desarrolladas en el plan de trabajo: 53% 
V2: Actividades planeadas al III Trimestre: 75% 
Resultado: 71%
De acuerdo con la implementación del plan de trabajo definido en plan view</t>
  </si>
  <si>
    <t xml:space="preserve">Las actividades definidas son las siguientes: 
1. Identificación de los componentes de información de todos los procesos. 
2. Levantar la Arquitectura de información de todos los procesos a nivel de: entidades, flujos de información y servicios de información 
3. Acompañar en la definición del programa de calidad de datos 
4. Acompañar la definición del esquema de gobierno de información. 
De estas actividades se han desarrollado los siguientes porcentajes: 
1. Identificación de los componentes de información de todos los procesos. 80% que corresponden a los procesos misionales y de apoyo. 
4. Levantar la Arquitectura de información de todos los procesos a nivel de: entidades, flujos de información y servicios de información, 80% para los procesos misionales y de apoyo.  
3. Acompañar en la definición del programa de calidad de datos 30% 
4. Acompañar la definición del esquema de gobierno de información. 20% 
lo que corresponde a un implementación de un 53% de la implementación del plan de trabajo
Para el cuarto trimestre se debe completar cada actividad a un 100%, es decir: 
1. Identificar los componentes de información de los procesos estratégicos
2. Levantar la arquitectura de información de los procesos estratégicos
3. Acompañar la definición del plan de calidad
4. Acompañar la definción del esquema de gobierno de información.  
 </t>
  </si>
  <si>
    <t>https://icfes.pvcloud.com/planview/PRM/ProjectResourceMgmt.aspx?ptab=PRJ_MAIN&amp;pt=PROJECT&amp;sc=9663&amp;scode=9663&amp;popup=1&amp;back=close
https://icfes.smart360.biz/smartea/businessobject/init.do
7. Presentación de análisis de Lineamientos de Gestión de Información</t>
  </si>
  <si>
    <t>V1: Actividades desarrolladas en el plan de trabajo: 62,5% (2 actividades al 100% y 1 actividad al 50%)
V2: Actividades planeadas: 74% (3 actividades)
Resultado: 83%</t>
  </si>
  <si>
    <t xml:space="preserve">Actividades contempladas para el Dominio de Sistemas de Información son: 
1. Actualización del Catálogo de Sistemas de Información AS-IS
2. Vista de primer nivel de los Sistemas de Información
3. Definición de situación objetivo de sistemas de información
4. Análisis de brecha y mapa de ruta
Las actividades que se han desarrollado a corte 30 de septiembre son: la 1 y 2 en un 100% y la tercera en un 50% ya que se han identificado iniciativas para el sistema objetivo, sin embargo, es necesario definir cuáles será acogidas de acuerdo con la nueva estrategia de TI. </t>
  </si>
  <si>
    <t>8. Mapa de Ruta de Sistemas de Información 2018-2019 v1.1
https://icfes.smart360.biz/smartea/informationsystem/init.do</t>
  </si>
  <si>
    <t>V1: Actividades desarrolladas en el plan de trabajo: 55% 
V2: Actividades planeadas al II Trimestre: 75% 
Resultado: 73%</t>
  </si>
  <si>
    <t xml:space="preserve">Las actividades ha desarrollar en el dominio de Uso y Apropiación son:
1. Definición de la Estrategia de Uso y Apropiación de la Arquitectura Empresarial
2. Implementación de la Estrategia de Uso y Apropiación de AE
3. Elaboración de la Estrategia de Uso y Apropiación de los Servicios de TI
Se ha desarrollado la actividad 1 en un 100% y la activdad 2 se desarrolló un 67% planeado que corresponde a 1  taller y un boletín, el 33% corresponde al cafe que no se ha desarrollado aún.    
Durante el cuarto trimestre se debe desarrollar el 100% de la actividad 3 y las actividades restante de la actividad 2. </t>
  </si>
  <si>
    <t>9. AE - Estrategia_Uso_y_Apropiación_2018
10. Boletin Nro. 1 de Uso y Apropiación
11. TALLER DE USO Y APROPIACIÓN NRO 1</t>
  </si>
  <si>
    <t>V1: Módulos con historias aprobadas: 8
V2: Módulos planeados: 11
Resultado: 73%</t>
  </si>
  <si>
    <r>
      <t>Los módulos planeados para el sistema de información PRISMA son: 
1. Inscripción y Recaudo
2. Citación
3. Aprovisionamiento
4. Instrumentos
5. Autenticación única
6. Resultados
7. Armado
8. Gestión
9. Informe Aplicación
10. Análisis de ítems
11. Calificación</t>
    </r>
    <r>
      <rPr>
        <sz val="12"/>
        <color rgb="FFFF0000"/>
        <rFont val="Calibri"/>
        <family val="2"/>
        <scheme val="minor"/>
      </rPr>
      <t xml:space="preserve">
</t>
    </r>
    <r>
      <rPr>
        <sz val="12"/>
        <rFont val="Calibri"/>
        <family val="2"/>
        <scheme val="minor"/>
      </rPr>
      <t>Se vienen trabajando historias aprobadas sobre los módulos : 1) Análisis de ítems, 2) Armado, 3) Calificación, 4) Citación, 5) Informe Aplicación, 6) Inscripción y 7) Resultados, 8) Autenticación</t>
    </r>
  </si>
  <si>
    <t xml:space="preserve">https://docs.google.com/spreadsheets/d/1mQbnOjr9o_5YGciB1AaEv73_JQm2w5vChrrRJgd9ScQ/edit#gid=1425145159 
http://www2.icfesinteractivo.gov.co/icescrum/p/PROJ2/#project
* Calificación: Se identificaron historias de usuario para la Gestión de evidencias de evaluación, Codificación de evidencias de evaluación,  Asignación de codificadores y reportes TALIS.
* Inscripción y Recaudo: Se identificaron los ajustes necesarios para la Asignación de tarifa, Convocatorias de inscripción a examenes y Pre-registro.
* Citación: Se identificaron los ajustes necesarios para Convocatorias de inscripción a examenes.
* Autenticación: Se identificaron los ajustes necesarios para Convocatorias de inscripción a examenes y restablecer contraseña.
* Resultados: Se indentificaron los Control de cambios para Resultados individuales de  Saber 11, Control de cambios Resultados agregados Saber 11, Reporte de Resultados individual de Saber Pro, Reporte de Resultados individual de Saber TyT, Reportes de Resultados agregados de Saber Pro, Reportes de Resultados agregados de Saber TyT y Nuevos reportes de resultados Saber 11 para Depto., Mpio., ETC.
* Análisis de ítems: Se identificaron  historias de usuario para Gestión del cargue de calibración de ítems
* Armado: Se identificaron  historias de usuario para Revisión y aprobación del armado
* Informe Aplicación: Se identificaron  historias de usuario para Gestión de Procesos Sancionatorios
</t>
  </si>
  <si>
    <t>V1: Historias estimadas: 179
V2: Historias aprobadas: 133
Resultado: 135%</t>
  </si>
  <si>
    <t>Durante el tercer trimestre se realizó la validación y aprobación de 53 historias de usuario  para realizar el análisis técnico, y determinar la complejidad en desarrollo. Esto se realizó para los módulos de 1) Análisis de ítems, 2) Armado, 3) Calificación, 4) Citación, 5) Informe Aplicación, 6) Inscripción y 7) Resultados, 8) Autenticación</t>
  </si>
  <si>
    <t>V1: Sprints desarrollados: 4
V2: Sprints planeados:3
Resultado: 133%</t>
  </si>
  <si>
    <t>Durante el tercer trimestre se llevaron a cabo cuatro (4) sprints de  desarrollo para los módulos de:1) Análisis de ítems, 2) Armado, 3) Calificación, 4) Citación, 5) Informe Aplicación, 6) Inscripción y 7) Resultados, 8) Autenticación</t>
  </si>
  <si>
    <t>V1: Funcionalidades en producción: 21
V2: Funcionalidades desarrolladas: 43
Resultado: 49%</t>
  </si>
  <si>
    <r>
      <t>Durante el tercer trimestre se entregaron a prod</t>
    </r>
    <r>
      <rPr>
        <sz val="12"/>
        <rFont val="Calibri"/>
        <family val="2"/>
        <scheme val="minor"/>
      </rPr>
      <t>ucción 12</t>
    </r>
    <r>
      <rPr>
        <sz val="12"/>
        <color theme="1"/>
        <rFont val="Calibri"/>
        <family val="2"/>
        <scheme val="minor"/>
      </rPr>
      <t xml:space="preserve"> funcionalidades: 
a. En Inscripción se entregaron cinco (5) funcionalidades: 1) Asignar y editar  curso Avancemos 468, 2) Cargue Masivo estudiantes 468, 3) Adicionar e Inscribir estudiantes uno a uno 468, 4) Retirar Inscritos avancemos 468 y 5) Mostrar en Pop Up Registro de docentes desde el modulo de  Inscripción 
b. En Instrumentos de Evaluación se entregaron siete (7) funcionalidades: 
1) Funcionalidades de Contextos partes 4 a 7 para los roles Constructor, Revisor y Gestor de Prueba, 2) Visualización del Identificador del ítem en las diferentes secciones de las Partes de Ingles 1-7, 3) Ajustes a la vista preliminar Parte 2, 4) Nuevas funcionadades de Adjuntar y Descargar Archivo de validación, 5) Controles de cambio del Crear Requerimientos de Contextos para Ingole, 6) Envio de correo al Gestor de Prueba  cuando se ha diagramado un agrupamiento de Ingles  para los roles Corrector, Revisor y Diagramador, 7) Asignación Masivo para el Rol Coordinador de Diagramación.</t>
    </r>
  </si>
  <si>
    <t>V1: Funcionalidades en producción socializadas: 15
V2: Funcionalidades en producción planeadas de socializar: 12
Resultado: 125%</t>
  </si>
  <si>
    <t xml:space="preserve">Durante el tercer trimestre se realizaron ocho (8) socializaciones más:
1) 2 Sesiones de Socialización de Agrupamiento con contexto Construido y por Construir con la Administración de Etiquetas
2) 2 Sesiones de Capacitación a los usuarios externos para los roles de Constructor y Revisor de las partes 4 -7
3) 1 Sesión de capacitación para Carga, asignación, codificación y reasignación de artefactos para TALIS Estudio Video.
4) 3 Sesiones de capacitación para validación de ïtems de íngles </t>
  </si>
  <si>
    <t>http://192.168.147.73:8081/administrador/DocumentacionPrisma</t>
  </si>
  <si>
    <t>V1: Lineamientos y estándares definidos: 11
V2: Lineamientos y estándares planeados basados en el marco de referencia del MINTIC: 20
Resultado: 55%</t>
  </si>
  <si>
    <t>Durante el tercer trimestre se realizó la definición y ajustes de los siguientes lineamientos:
1. Lineamiento de validación de datos y estructuras en migraciones de esquemas de bases de datos.
2. Lineamientos generales usuarios internos y proveedores, documentación requerida para sistemas de información
3. Lineamientos y configuración de Herramienta para la generación  de reportes interactivo (APEX).
4. Adicionalmente, se encuentra en revisión y validación del lineamiento de lenguaje común de intercambio de componentes de información - LI.INF.06 para la actualización de su implementación en el ICFES. 
5. Actualización de documentación con las definiciones técnicas que permita establecer los lineamientos del diseño, desarrollo y administración de bodegas de datos, teniendo en cuenta las mejores prácticas y recomendaciones dadas por diferentes autores.
En el mes de septiembre se definieron los lineamientos de trazabiilidad y auditoria para los servicios expuestos.</t>
  </si>
  <si>
    <t xml:space="preserve">1. Documento de arquitectura de Interoperabilidad http://192.168.147.76/svn/misional/Interoperabilidad/Artefactos%20de%20Proyecto/3.Ejecucion/INTEROPERABILIDAD/IO_DA_2018.docx
2. Validación de datos y estrucuturas en migraciones de esquemas de bases de datos (LDF_Migraciones_BDR.docx) - http://192.168.147.76/svn/misional/Arquitectura/Formatos
3. Documentación requerida para sistemas de información lineamientos generales usuarios internos y proveedores (DSI_Documentación_SistemasInformación.docx) http://192.168.147.76/svn/misional/Arquitectura/Formatos
4. Revisión de lineamiento: Lenguaje común de intercambio de componentes de información - LI.INF.06 para la actualización de su implementación en el ICFES http://192.168.147.76/svn/misional/Interoperabilidad/Artefactos de Proyecto/3.Ejecucion/Marco de interoperabilidad/LI.INF.06.DOCX
5. Lineamientos APEX
http://192.168.147.76/svn/misional/Arquitectura/Pruebas_Concepto/PruebaConceptoReporteador/PruebaConceptoReporteador.docx
http://192.168.147.76/svn/misional/Arquitectura/Pruebas_Concepto/PruebaConceptoReporteador/PruebaDeConceptoApex.docx  
6. Lineamientos BI
http://192.168.147.76/svn/misional/Arquitectura/Formatos.
- Lineamientos de diseño conceptual de bases de datos
Archivos: a. LDC_DisenoConceptual_BDR.docx 
- Lineamientos de diseño físico de bases de datos
Archivos: a. DF_DisenoFisico_BDR_ProyectoXX.docx y b. LDF_DisenoFisico_BDR.docx
- Lineamientos de desarrollo de bases de datos
Archivos: a. LDD_DesarrolloPLSQL_BDR.docx y b. </t>
  </si>
  <si>
    <t>V1: Servicios de integración implementados: 11
V2: Servicios de integración planeados: 22
Resultado: 50%</t>
  </si>
  <si>
    <t>Durante el tercer trimestre se realizaron los siguientes documentos requeridos para complementar la documentación del software de los servicios de integración a ser implementados: 
1. Manual de configuración del ambiente CAMEL
2. Complemento del servicio de autenticación con diseño, ajustes de implementación y despliegue en pruebas para realizar certificación. 
3. Se realizo la diccionario, ficha de servicio e implementación a los servicios de:
- Autenticación
- Autorización
- Trazabilidad
- Auditoria
- Mappeo de excepciones
- Validar Token
Adicionalmente, se realizaron ajustes a servicios y desarrollo de servicios de:
- Cerrar sesión
- Cache (dominios)</t>
  </si>
  <si>
    <t>1. Manual 
http://192.168.147.76/svn/misional/Interoperabilidad/Artefactos de Proyecto/3.Ejecucion/INTEROPERABILIDAD/IO_MT_configuración_ambiente_Camel.docx
2. Complemento de Servicio autenticación con diseño, ajustes de implementación y despliegue en pruebas para realizar certificación 
Código: http://192.168.147.73:8081/administrador/codigoInteroperabilidad/tree/autenticacion-openam/autenticacion-openam  Documento de diseño
3. Codigo: http://192.168.147.73:8081/administrador/codigoInteroperabilidad/tree
Documento:
http://192.168.147.76/svn/misional/Interoperabilidad/Artefactos de Proyecto/3.Ejecucion/INTEROPERABILIDAD/IO_DA_2018.docx
Documentación de servicios:
http://192.168.147.73:8081/administrador/documentacionArquitecturaTI/tree/master/Dise%C3%B1o/Documentos
Código de servicios:
http://192.168.147.73:8081/administrador/codigoInteroperabilidad/tree/codigoInteroperabilidadPruebas_V1.0.0</t>
  </si>
  <si>
    <t>Se han ejecutado 37 actividades planeadas para el año,abarca pruebas e investigación</t>
  </si>
  <si>
    <t>\\Icfesserv5\comunicaciones$\AÑO 2018\CALIDAD\VARIOS\PLANEACIÓN 2018</t>
  </si>
  <si>
    <t>3.268 piezas acumuladas, hasta tercer trimestre, apoyando la difuión de todos los temas de la Entidad</t>
  </si>
  <si>
    <t>\\Icfesserv5\comunicaciones$\AÑO 2018\CALIDAD</t>
  </si>
  <si>
    <t>(1/1)*100= 100%</t>
  </si>
  <si>
    <r>
      <t xml:space="preserve">Conforme a la proyección realizada para el tercer trimestre de 2018 comprendido por los meses de julio, agosto y septiembre, se efectuó la aplicación de la Prueba </t>
    </r>
    <r>
      <rPr>
        <b/>
        <sz val="10"/>
        <rFont val="Verdana"/>
        <family val="2"/>
      </rPr>
      <t xml:space="preserve">Saber 11A </t>
    </r>
    <r>
      <rPr>
        <sz val="10"/>
        <rFont val="Verdana"/>
        <family val="2"/>
      </rPr>
      <t xml:space="preserve">programada para el 12 de Agosto, cuyos resultados fueron los siguientes:
Primera sesión
* Examinandos citados:672.446  
* Examinados presentes: 653.464
* Examinados ausentes: 18.982
Segunda sesión
* Examinandos citados: 672.446
* Examinados presentes: 653.233
* Examinados ausentes: 19.213
De acuerdo a la información anterior, el porcentaje de cumplimiento global con relación a la programación de actividades del plan de acción fue del 75% conforme con la proyección y a nivel de la subdirección del 100% ya que se llevo a cabo la aplicación del examen según el cronograma establecido. </t>
    </r>
  </si>
  <si>
    <t>Documento en Revisión y ajustes</t>
  </si>
  <si>
    <t>Durante el tercer trimestre se actualizo la información relacionada con Procedimiento y Caracterización, se incluyó una Guía de Seguimiento y Control de Cronogramas de Actividades y se ajustaron otros formatos. Por otro lado, se complementa y actualiza la información del Documento denominado Modelo de Negocios y se realiza una socialización con el equipo de trabajo, ajustando contenidos y presentándolo para revisión y aprobación al jefe de la OAP.</t>
  </si>
  <si>
    <t>Se están diagramando las encuestas con el Software Qualtrics y se está consolidando un directorio con la información de contacto de las partes interesadas</t>
  </si>
  <si>
    <t>Se han presentado retrasos en el cronograma debido a la diagramación de las encuestas, consolidación del directorio y envío masivo de las encuestas vía correo electrónico</t>
  </si>
  <si>
    <t>\\icfesserv5\planeacion$\2018\GESTION Y DESEMPEÑO\Proy Información\Caracterización partes interesadas\Solicitudes encuestas</t>
  </si>
  <si>
    <t>(63/74)*100=85%</t>
  </si>
  <si>
    <t xml:space="preserve">La Oficina de Control Interno en el mes de septiembre  realizó seguimiento cuatrimestral a las actividades del PAAC , encontrando un promedio de cumplimiento del plan de 76%. Respecto al indicador se ejecutaron oportunamente 63 actividades de las 74 programadas en el tercer trimestre logrando un avance del 85%. </t>
  </si>
  <si>
    <t>(15/17)*100%=88%</t>
  </si>
  <si>
    <t xml:space="preserve">Se  incluyó 1 actividad en el Plan de actualización MIPG teniedno un total de 17 actividades para la vigencia 2018. Con corte a 30 de septiembre de 2018 se han ejecutado 15 de las 17 actividades logrando una ejecución del plan del 88%.  Las actividades pendientes es 1 capacitación de MIPG al personal de planta y el seguimiento al plan de actualización.
</t>
  </si>
  <si>
    <t>Documento de preliminar</t>
  </si>
  <si>
    <t xml:space="preserve">Se generó documentó el estado actual del instituto que indica las capacidades globales del Instituto y las específicas de cada uno de los macro procesos: Estratégicos, misionales, apoyo y de evaluación y control; este diagnóstico se ve sustentado en documentación vigente que describe principales aspectos útiles como información de personal, procesos, gestion por procesos, sistemas de información, análisis de entornos, entre otros. El documento está en revisión </t>
  </si>
  <si>
    <t>\\icfesserv5\planeacion$\2018\GESTION Y DESEMPEÑO\MIPG II\CAPACIDADES</t>
  </si>
  <si>
    <t>La información reposa en la cartepa compartida: 
\\icfesserv5\planeacion$\2018\GESTION Y DESEMPEÑO\Rendición de cuentas 2018
y en el link de transparencia, en el espacio de rención de cuentas: http://www.icfes.gov.co/transparencia/planeacion/politicas-lineamientos-y-manuales</t>
  </si>
  <si>
    <t xml:space="preserve">Se actualizó a versión 2 la estrategia de rendición de cuentas, de acuerdo a los nuevos parámertos del DAFP. Se actualizó información en el micrositio de rendición de cuentas, en el link de transparencia, se cargó el video del debate, informe de control interno, preguntas y respuestas de la ciudadania, inforgrafía, etc.
</t>
  </si>
  <si>
    <t>Actividad ejecutada al 100% en segundo trimestre 2018</t>
  </si>
  <si>
    <t>No  se tienen actividades programadas para el tercer trimestre</t>
  </si>
  <si>
    <t>100% =(9 Exámenes Armados y Diagramados/ 9 Exámenes programados para Armado y Diagramación)*100</t>
  </si>
  <si>
    <t>Se realizó armado y diagramación de SABER PRO 2018 
Se realizó armado y diagramación de SABER TyT 2018-2
Se realizó armado y diagramación de PRO - EXTERIOR 2018 
Se realizó armado y diagramación de TyT EXTERIOR 2018-2
Se realizó armado y diagramación de SABER 11A 2018
Se realizó armado y diagramación de SABER 11A 2018 - INSOR (prueba electrónica)
Se realizó armado y diagramación de Policía Nacional - Concurso Subintendente
Se realizó armado y diagramación de Policía Nacional - Concurso Mayores (prueba electrónica)
Se realizó armado y diagramación de REPUBLICA DOMINICANA</t>
  </si>
  <si>
    <t>Actas de entrega de armado de los exámenes a la Dirección de Tecnología y a Subdirección de Estadísticas</t>
  </si>
  <si>
    <t>100%=(2 Pruebas Codificada / 2 Prueba sprogramada para Codificación)*100</t>
  </si>
  <si>
    <t>Se realizó codificación de SABER TyT 2018-1
Se realizó codificación de ERCE</t>
  </si>
  <si>
    <t>Entrega de la base de codificación depurada a Subdirección de Estadísticas</t>
  </si>
  <si>
    <t>Elaboración de matriz con los gastos promedio por etapa de la cadena de valor, con base a la información de gastos proyectada en el antperoyecto de presupuesto para la vigencia 2018</t>
  </si>
  <si>
    <t>Matriz de costos por etapa de la cadena de valor</t>
  </si>
  <si>
    <t>535  Requerimientos ejecutados/627  Requerimientos programados)*100=85%</t>
  </si>
  <si>
    <t>A corte del 30 de septiembre en el plan de compras 2018, se generaron 644 ítem, no obstante, de esta cifra, 627 fueron programados para ser contratados entre el periodo de enero a septiembre de 2018, de los cuales 535 completaron algún proceso de contratación, reflejando así un 85.3% de ejecución de las líneas proyectadas.</t>
  </si>
  <si>
    <t>Elaboración del cronograma de actividades y de la plantilla de recolección de gastos de las áreas; proyección de ingresos de Nuevos Negocios</t>
  </si>
  <si>
    <t>Plantilla elaborada y tabla de proyección de ingresos de NN</t>
  </si>
  <si>
    <t>3/3</t>
  </si>
  <si>
    <t>Elaboración de matriz con los objetivos, actividades y  productos, con sus respectivos avances, para cada proyecto de inversión del Instituto</t>
  </si>
  <si>
    <t>Cargue de los avances en la ejecución de las actividades de cada proyecto de inversión en el aplicativo SPI del DNP</t>
  </si>
  <si>
    <t>(2002+4444+4030)/(2002+4444++4444)</t>
  </si>
  <si>
    <t xml:space="preserve">La entidad ha realizado pagos equivalentes al 96,2% de las obligaciones adquiridas. Sin embargo ha cumplido con el 100% de los giros a terceros, conforme a lo establecido en las circulares de pago a contratistas, pasantes, proveedores, empleados y entidades externas. </t>
  </si>
  <si>
    <t>Los pagos realizados que hacen parte del presupuesto de gastos en la institución,  son reflejados en la ERP, los cuales pueden ser consultados en los movimientos de las cuentas bancarias del ICFES.</t>
  </si>
  <si>
    <t>Estudio de modelos de gestión del conocimiento</t>
  </si>
  <si>
    <t>Se ha realizado al revisión de modelos de gestión con el fin de analizarlos y apicarlos a la entidad</t>
  </si>
  <si>
    <t>\\icfesserv5\planeacion$\2018\GESTION Y DESEMPEÑO\MIPG II\DIMENSIONES\6. Gestión del Conocimiento y la innovación</t>
  </si>
  <si>
    <t>\\icfesserv5\planeacion$\2018\PRESUPUESTO</t>
  </si>
  <si>
    <t>(98*100)/98=100%</t>
  </si>
  <si>
    <t>De acuerdo con la evidencia; el tercer trimestre de 2018 la oficina asesora jurídica cumple con el plan de trabajo propuesto bajo los procedimientos de ley que regulan la defensa judicial el control normativo y la conceptualización jurídica.</t>
  </si>
  <si>
    <t>Página Web: 37 Publicación de Normatividad
Ekogui Procesos activos como Icfes demandante: 25 procesos activos
Ekogui Procesos activos como Icfes demandado: 36 procesos activos</t>
  </si>
  <si>
    <t>Se realiza solicitud de seguimiento a la estrategia de racionalización a la UAC y DTI, con el fin de tener un avance preciso de la OPA a racionalizar en esta vigencia</t>
  </si>
  <si>
    <t>(10/17)*100=41%</t>
  </si>
  <si>
    <t>Se realizó actualización del plan de participación ciudadana y fue públicado en el link de trnasparencia+</t>
  </si>
  <si>
    <t>La actividad no se tiene programada para este trimestre</t>
  </si>
  <si>
    <t>No aplica, la actividad se ejecutó en el primer y segundo trimestre del año</t>
  </si>
  <si>
    <t>(2*100%)/3 =66%</t>
  </si>
  <si>
    <t>Capacitación en reintegración, reincorporación y educación, a cargo de la Agencia para la Reincorporación y Normalización</t>
  </si>
  <si>
    <t>Actividades realizadas: 4 / Actividades planeadas: 5 * 100 = 80</t>
  </si>
  <si>
    <t xml:space="preserve">De acuerdo con los compromisos establecidos, se logró consolidar las siguientes actividades: 
1. Realizar el diagnóstico y la caracterización de los requerimientos del Sistema de Gestión del Conocimiento.
Estado:
- Definición del propósito y alcance del proyecto.
- Definición de la información que debe estar incluida en el sistema, de acuerdo con importancia y beneficio de uso.
- Identificación de información relevante existente a cargo de los diferentes integrantes de la SDI.
- Inventario y recopilación de la información disponible. 
2. Construir una línea base del proceso de diseño y construcción de pruebas, de acuerdo con la clasificación, organización y depuración que se realice de la información consolidada de marcos de referencia, especificaciones de prueba y funcionamiento de cada una en las distintas aplicaciones.
Estado: 
- Definición de un período de 10 años como línea  base para la recopilación de la información.
- Diseño de un esquema de organización, clasificación y codificación de la información que se incorporará al sistema.
- Búsqueda, recopilación y organización de la información disponible.
- Organización de una base de datos,  para consulta que permita acceso directo a los usuarios autorizados según niveles de consulta.
3. Definir la estructura del Sistema de Gestión del Conocimiento que permita un manejo óptimo y eficiente de la información relacionada con los procesos de diseño y construcción de pruebas. El sistema debe generar un modelo para definir  lo que se hace, cómo se hace y para qué se hace, y documentar estos hechos para facilitar su acceso, uso y actualización.
Estado: 
- Definición de esquema de consulta de la información, de acuerdo con su uso para los diferentes procesos de la SDI.
- Definición de niveles de acceso y uso de la información, de acuerdo con los distintos tipos de usuarios identificados.
- Entrega de insumos para la implementación del módulo en Plataforma Prisma para procesos de construcción y armado de pruebas.
4. Gestionar la implementación del Sistema de Gestión del Conocimiento proporcionando los insumos para las fases de levantamiento, planeación, desarrollo, pruebas y puesta en producción de los procedimientos relacionados (pre-armado, armado de pruebas, marcos de referencia, especificaciones de prueba, y comités técnicos de área), entregando la información modular que soporta el sistema.
Estado:
- Diseño e implementación del módulo de armado a través de la plataforma Prisma.
- Revisión con Área de Tecnología acerca de las alternativas de seguimiento al uso de la información (Ej. Número de descargas)
5. Diseñar un plan de capacitación para los profesionales que usarán el Sistema de Gestión del Conocimiento implementado en la Subdirección de Diseño de Instrumentos.
Estado:
- Presentación del Proyecto GC a la Dirección de Evaluación, Subdirección de Estadísticas y Subdirección de Análisis y Divulgación.
- Capacitación sobre el Proyecto a los integrantes de la Subdirección de Diseño de Instrumentos.
Tal y como se expuso anteriormente, de los 5 compromisos, se logró realizar 4, sin embargo, el último referente a la capacitación, aún no ha sido desarollado a cabalidad, así las cosas, quedan pendientes por realizar durante los próximos meses de la vigencias 2018 las siguientes actividades:
- Definición de Instructivo para la entrega de documentos por parte de Gestores a Grupo del Proyecto de GC.
- Recepción, validación y consolidación de la información o documentos entregados por los Gestores de prueba.
- Elaboración y estructura del manual de ingreso y uso de la base de datos de Gestión del Conocimiento.
- reunión grupo de Tecnología para actualizar fechas de las fases siguientes del proyecto.
</t>
  </si>
  <si>
    <t>Toda la evidencia del proyecto estratégico de gestión del conocimiento, puede ser consultada en el siguiente enlace de carpeta compartida:
\\ICFESSERV5\Proyestratgestconocimiento$</t>
  </si>
  <si>
    <t xml:space="preserve">Marcos elaborados o ajustados: 7 /Marcos planeados a elaborar o ajustar: 17
7/17*100 = 41% </t>
  </si>
  <si>
    <t>Al corte de 30 de septiembre, se logró realizar las siguientes actividades:
Se enviaron a validación externa los siguientes marcos construidos: Prueba de matemáticas Saber 11, subprueba de ciencias naturales Saber 11, Módulo promoción de la salud y prevención de la enfermedad de Saber Pro y Saber TyT, Módulo diagnóstico y tratamiento en salud oral Saber Pro,  Módulo de procesos comunicativos Saber Pro , Módulo de información y control contable Saber Pro, Módulo de mantenimiento e instalación de hardware y software Saber TyT, Módulo Estudio proyectual Saber Pro, Módulo Proyecto de arquitectura Saber Pro.
Del mismo modo, se envió para ajustes del autor los siguientes marcos: Prueba de comunicación escrita , Módulo cuidado de enfermería en los ámbitos clínico y comunitario Saber Pro. 
Por otro lado, se envió a diagrmación el marco de Módulo de pensamiento científico  y se esta a la espera de aprobación de diagramación por parte de los gestores los siguientes marcos: Módulo de investigación en ciencias sociales Saber Pro, Prueba de Competencias ciudadanas , Módulo de Análisis económico Saber Pro, Módulo educar, formar y evaluar.
Por último se logró publicar el marco de la prueba de lectura critica y se envió a elaboración el marco para la prueba de República Dominicana.</t>
  </si>
  <si>
    <t xml:space="preserve">Toda la información correspondiente de los marcos se encuentra en el Drive asignado y en la carpeta en físico para marcos, en donde se pueden encontrar las últimas versiones del estado de los marcos, como su respectivo histórico:
https://drive.google.com/drive/u/2/folders/1kb1PHu02w6YasiMGAhTXDMQxK7vgdg2o?ogsrc=32
Con respecto al marco publicado, se puede encontrar la versión en:
http://www.icfes.gov.co/instituciones-educativas-y-secretarias/saber-pro/documentos
</t>
  </si>
  <si>
    <t>Guías actualizadas: 25 / Total de guías requeridas por aplicación: 50 * 100 = 50%</t>
  </si>
  <si>
    <t>Al corte del tercer trimestre del 2018, se logró publicar antes de la aplicación de las pruebas, las siguientes guías de orientación: Guía de orientación módulos genéricos Saber Pro 2018.
Guía de orientación módulos de competencias genéricas saber TyT 2018 – 1.
Guía de Orientación de Avancemos 4°6°8°.
Guía de orientación - estudio principal en Colombia PISA 2018.
Patrulleros.
Guía de orientación de Saber 11° 2018 – 2.
Guía de orientación Saber 11° para instituciones educativas 2018-1.
Guía de orientación módulos de competencias genéricas saber TyT 2018 – 2.
Guía de orientación competencias específicas módulo de promoción de la salud y prevención de le enfermedad Saber TyT 2018-2.
Guía de orientación competencias específicas módulo de mantenimiento e instalación de hardware y software Saber TyT 2018-2.
Guía de orientación competencias específicas módulo de ensamblaje mantenimiento y operación de maquinaria y equipos Saber TyT 2018-2.
Guía de orientación módulo de análisis de problemáticas psicológicas Saber Pro 2018.
Guía de orientación módulo de análisis económico Saber Pro 2018.
Guía de orientación módulo de atención en salud Saber Pro 2018.
Guía de orientación módulo de comunicación jurídica Saber Pro 2018.
Guía de orientación módulo de cuidado de enfermería en los ámbitos clínico y comunitario Saber Pro 2018.
Guía de orientación módulo de diagnóstico y tratamiento en salud oral Saber Pro 2018.
Guía de orientación módulo de diseño de obras de infraestructura Saber Pro 2018.
Guía de orientación módulo de diseño de procesos industriales Saber Pro 2018.
Guía de orientación módulo de diseño de sistemas de control Saber Pro 2018.
Guía de orientación módulo de diseño de sistemas de manejo de impacto ambiental Saber Pro 2018.
Guía de orientación módulo de diseño de sistemas mecánicos Saber Pro 2018.
Guía de orientación módulo de diseño de sistemas procesos y productos agroindustriales Saber Pro 2018.
Guía de orientación módulo de diseño de sistemas productivos y logísticos Saber Pro 2018.
Guía de orientación módulo de diseño de software Saber Pro 2018.
Así las cosas, a diferencia de las vigencias pasadas, el valor agregado que tuvo el diseño y elaboración para la vigencia 2018, fue la pertinencia de publicación de las mismas, toda vez que todas las guías se publicaron antes de la aplicación de las pruebas, sirviendo así como insumo para los evaluados, docentes y consejos académicos, para presentar con mayor eficacia las pruebas.
 Por último, cabe resaltar que la única guía que no se publicó, fue la de patrulleros, toda vez que el cliente solicitó no publicar la guía en aras de evitar posibles fraudes o desventajas entre el personal policiaco seleccionado.</t>
  </si>
  <si>
    <t xml:space="preserve">La evidencia de la elaboración y  publicación de las guías de orientación, puede ser consultada en los siguientes links:
http://www.icfes.gov.co/instituciones-educativas-y-secretarias/avancemos-4-6-y-8/preguntas-frecuentes-pre-inscripcion-2
http://www.icfes.gov.co/instituciones-educativas-y-secretarias/evaluaciones-internacionales-inves/programa-para-la-evaluacion-internacional-de-estudiantes-pisa
correo electrónico con la guía remitido a la oficina asesora de planeación (Para la guía de patrulleros)
http://www.icfes.gov.co/instituciones-educativas-y-secretarias/saber-11/documentos
http://www.icfes.gov.co/instituciones-educativas-y-secretarias/saber-tyt/guias-de-orientacion
http://www.icfes.gov.co/instituciones-educativas-y-secretarias/saber-pro/guias-de-orientacion
</t>
  </si>
  <si>
    <t>Se desarrolla el analisis de riesgos hasta la publicacion en la pagina  del ICFES
Las evidencias  se encuentran en el
 plan - PA1814-002</t>
  </si>
  <si>
    <t>\\Icfesserv5\planeacion$\2018\GESTION Y DESEMPEÑO\CALIDAD\GESTIÓN DE RIESGOS</t>
  </si>
  <si>
    <t>Se desarrolla el analisis de riesgos hasta la publicacion en la pagina  del ICFES.
Las evidencias  se encuentran en el
 plan - PA1814-002</t>
  </si>
  <si>
    <t>\\icfesserv5\planeacion$\2018\GESTION Y DESEMPEÑO\PAAC</t>
  </si>
  <si>
    <t>(5/9)*100=56%</t>
  </si>
  <si>
    <t>Se adelantaron las diferentes acciones del plan de gestión de concimientos del aplicativo DARUMA  Las acciones establecidas en los planes de accion del aplciativo DARUMA, ya fueron avancados  con sus respectivas evidencias</t>
  </si>
  <si>
    <t>DARUMA
(PA1819-004)</t>
  </si>
  <si>
    <t>(92/112/)*100=82%</t>
  </si>
  <si>
    <t>Se ejecutaron 92 de las 112 actividades estipuladas en le plan de acción institucional</t>
  </si>
  <si>
    <t>85/100*100=85%</t>
  </si>
  <si>
    <t>Se ejecutaron 85 de las 100 actividades planeadas</t>
  </si>
  <si>
    <t>(18*100%)/18 =100%</t>
  </si>
  <si>
    <t>En el trimestre se actualizaron en SIGEP:
- 7 Ingresos
- 11 Retiros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</si>
</sst>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 #,##0.00_);_(&quot;$&quot;\ * \(#,##0.00\);_(&quot;$&quot;\ * &quot;-&quot;??_);_(@_)"/>
    <numFmt numFmtId="43" formatCode="_(* #,##0.00_);_(* \(#,##0.00\);_(* &quot;-&quot;??_);_(@_)"/>
    <numFmt numFmtId="164" formatCode="_ &quot;$&quot;\ * #,##0.00_ ;_ &quot;$&quot;\ * \-#,##0.00_ ;_ &quot;$&quot;\ * &quot;-&quot;??_ ;_ @_ "/>
    <numFmt numFmtId="165" formatCode="_ * #,##0.00_ ;_ * \-#,##0.00_ ;_ * &quot;-&quot;??_ ;_ @_ "/>
    <numFmt numFmtId="166" formatCode="0.0%"/>
    <numFmt numFmtId="167" formatCode="_-&quot;$&quot;* #,##0_-;\-&quot;$&quot;* #,##0_-;_-&quot;$&quot;* &quot;-&quot;_-;_-@_-"/>
    <numFmt numFmtId="168" formatCode="_(* #,##0_);_(* \(#,##0\);_(* &quot;-&quot;??_);_(@_)"/>
    <numFmt numFmtId="169" formatCode="_(&quot;$&quot;\ * #,##0_);_(&quot;$&quot;\ * \(#,##0\);_(&quot;$&quot;\ * &quot;-&quot;??_);_(@_)"/>
    <numFmt numFmtId="170" formatCode="_-* #,##0_-;\-* #,##0_-;_-* &quot;-&quot;_-;_-@_-"/>
  </numFmts>
  <fonts count="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12"/>
      <color rgb="FFFF0000"/>
      <name val="Calibri"/>
      <family val="2"/>
      <scheme val="minor"/>
    </font>
    <font>
      <sz val="12"/>
      <color rgb="FF000000"/>
      <name val="Calibri"/>
      <family val="2"/>
    </font>
    <font>
      <sz val="10"/>
      <color theme="1"/>
      <name val="Calibri"/>
      <family val="2"/>
      <scheme val="minor"/>
    </font>
    <font>
      <sz val="10"/>
      <name val="Arial"/>
      <family val="2"/>
    </font>
    <font>
      <sz val="11"/>
      <color theme="1"/>
      <name val="Calibri "/>
    </font>
    <font>
      <b/>
      <sz val="10"/>
      <color theme="1"/>
      <name val="Arial"/>
      <family val="2"/>
    </font>
    <font>
      <sz val="11"/>
      <name val="Calibri"/>
      <family val="2"/>
    </font>
    <font>
      <u/>
      <sz val="10"/>
      <color theme="10"/>
      <name val="Arial"/>
      <family val="2"/>
    </font>
    <font>
      <sz val="9"/>
      <color indexed="81"/>
      <name val="Tahoma"/>
      <family val="2"/>
    </font>
    <font>
      <b/>
      <sz val="12"/>
      <name val="Arial"/>
      <family val="2"/>
    </font>
    <font>
      <b/>
      <sz val="14"/>
      <name val="Arial"/>
      <family val="2"/>
    </font>
    <font>
      <b/>
      <sz val="11"/>
      <color theme="1"/>
      <name val="Arial"/>
      <family val="2"/>
    </font>
    <font>
      <b/>
      <sz val="8"/>
      <name val="Calibri"/>
      <family val="2"/>
      <scheme val="minor"/>
    </font>
    <font>
      <b/>
      <sz val="11"/>
      <name val="Arial"/>
      <family val="2"/>
    </font>
    <font>
      <sz val="10"/>
      <color theme="1"/>
      <name val="Arial"/>
      <family val="2"/>
    </font>
    <font>
      <b/>
      <sz val="14"/>
      <color theme="1"/>
      <name val="Calibri"/>
      <family val="2"/>
      <scheme val="minor"/>
    </font>
    <font>
      <sz val="12"/>
      <color theme="1"/>
      <name val="Calibri"/>
      <family val="2"/>
      <scheme val="minor"/>
    </font>
    <font>
      <b/>
      <sz val="12"/>
      <color theme="1"/>
      <name val="Calibri"/>
      <family val="2"/>
      <scheme val="minor"/>
    </font>
    <font>
      <sz val="11"/>
      <color theme="1"/>
      <name val="Calibri"/>
      <family val="2"/>
    </font>
    <font>
      <sz val="11"/>
      <color theme="1"/>
      <name val="Arial"/>
      <family val="2"/>
    </font>
    <font>
      <sz val="11"/>
      <name val="Calibri "/>
    </font>
    <font>
      <i/>
      <sz val="11"/>
      <name val="Calibri "/>
    </font>
    <font>
      <sz val="10"/>
      <name val="Arial"/>
      <family val="2"/>
    </font>
    <font>
      <sz val="10"/>
      <name val="Calibri"/>
      <family val="2"/>
      <scheme val="minor"/>
    </font>
    <font>
      <b/>
      <sz val="11"/>
      <name val="Calibri "/>
    </font>
    <font>
      <i/>
      <sz val="11"/>
      <name val="Calibri"/>
      <family val="2"/>
      <scheme val="minor"/>
    </font>
    <font>
      <u/>
      <sz val="11"/>
      <name val="Calibri"/>
      <family val="2"/>
      <scheme val="minor"/>
    </font>
    <font>
      <u/>
      <sz val="10"/>
      <name val="Arial"/>
      <family val="2"/>
    </font>
    <font>
      <b/>
      <sz val="11"/>
      <name val="Calibri"/>
      <family val="2"/>
    </font>
    <font>
      <sz val="11"/>
      <name val="Arial"/>
      <family val="2"/>
    </font>
    <font>
      <b/>
      <i/>
      <sz val="10"/>
      <name val="Arial"/>
      <family val="2"/>
    </font>
    <font>
      <b/>
      <sz val="10"/>
      <name val="Arial"/>
      <family val="2"/>
    </font>
    <font>
      <sz val="9"/>
      <name val="Arial"/>
      <family val="2"/>
    </font>
    <font>
      <sz val="10"/>
      <name val="Arial"/>
      <family val="2"/>
    </font>
    <font>
      <b/>
      <sz val="11"/>
      <color theme="1"/>
      <name val="Calibri "/>
    </font>
    <font>
      <sz val="11"/>
      <color rgb="FFFF0000"/>
      <name val="Calibri "/>
    </font>
    <font>
      <sz val="11"/>
      <color rgb="FF000000"/>
      <name val="Calibri"/>
      <family val="2"/>
      <scheme val="minor"/>
    </font>
    <font>
      <sz val="11"/>
      <color rgb="FF000000"/>
      <name val="Calibri"/>
      <family val="2"/>
    </font>
    <font>
      <sz val="10.5"/>
      <color rgb="FF333333"/>
      <name val="Arial"/>
      <family val="2"/>
    </font>
    <font>
      <sz val="14"/>
      <color theme="1"/>
      <name val="Arial"/>
      <family val="2"/>
    </font>
    <font>
      <sz val="14"/>
      <name val="Arial"/>
      <family val="2"/>
    </font>
    <font>
      <sz val="12"/>
      <name val="Arial"/>
      <family val="2"/>
    </font>
    <font>
      <i/>
      <sz val="12"/>
      <name val="Arial"/>
      <family val="2"/>
    </font>
    <font>
      <sz val="10"/>
      <name val="Verdana"/>
      <family val="2"/>
    </font>
    <font>
      <b/>
      <sz val="10"/>
      <name val="Verdana"/>
      <family val="2"/>
    </font>
    <font>
      <sz val="14"/>
      <color theme="1"/>
      <name val="Calibri"/>
      <family val="2"/>
      <scheme val="minor"/>
    </font>
  </fonts>
  <fills count="1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6" tint="0.59999389629810485"/>
        <bgColor theme="4" tint="0.79998168889431442"/>
      </patternFill>
    </fill>
    <fill>
      <patternFill patternType="solid">
        <fgColor rgb="FF92D050"/>
        <bgColor indexed="64"/>
      </patternFill>
    </fill>
    <fill>
      <patternFill patternType="solid">
        <fgColor rgb="FFFFFFFF"/>
        <bgColor rgb="FFFFFFFF"/>
      </patternFill>
    </fill>
    <fill>
      <patternFill patternType="solid">
        <fgColor theme="8" tint="0.79998168889431442"/>
        <bgColor indexed="64"/>
      </patternFill>
    </fill>
    <fill>
      <patternFill patternType="solid">
        <fgColor theme="3"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style="thin">
        <color indexed="64"/>
      </right>
      <top/>
      <bottom/>
      <diagonal/>
    </border>
    <border>
      <left/>
      <right/>
      <top style="hair">
        <color indexed="64"/>
      </top>
      <bottom/>
      <diagonal/>
    </border>
    <border>
      <left/>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style="hair">
        <color rgb="FF000000"/>
      </top>
      <bottom/>
      <diagonal/>
    </border>
    <border>
      <left style="hair">
        <color indexed="64"/>
      </left>
      <right style="hair">
        <color indexed="64"/>
      </right>
      <top/>
      <bottom style="hair">
        <color rgb="FF000000"/>
      </bottom>
      <diagonal/>
    </border>
    <border>
      <left style="hair">
        <color rgb="FF000000"/>
      </left>
      <right style="hair">
        <color rgb="FF000000"/>
      </right>
      <top style="hair">
        <color indexed="64"/>
      </top>
      <bottom/>
      <diagonal/>
    </border>
    <border>
      <left style="hair">
        <color rgb="FF000000"/>
      </left>
      <right style="hair">
        <color rgb="FF000000"/>
      </right>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indexed="64"/>
      </left>
      <right/>
      <top style="hair">
        <color rgb="FF000000"/>
      </top>
      <bottom style="hair">
        <color rgb="FF000000"/>
      </bottom>
      <diagonal/>
    </border>
    <border>
      <left/>
      <right/>
      <top style="hair">
        <color rgb="FF000000"/>
      </top>
      <bottom style="hair">
        <color rgb="FF000000"/>
      </bottom>
      <diagonal/>
    </border>
    <border>
      <left/>
      <right style="hair">
        <color rgb="FF000000"/>
      </right>
      <top/>
      <bottom/>
      <diagonal/>
    </border>
    <border>
      <left style="thin">
        <color indexed="64"/>
      </left>
      <right style="thin">
        <color indexed="64"/>
      </right>
      <top/>
      <bottom/>
      <diagonal/>
    </border>
  </borders>
  <cellStyleXfs count="22">
    <xf numFmtId="0" fontId="0" fillId="0" borderId="0"/>
    <xf numFmtId="165" fontId="13" fillId="0" borderId="0" applyFont="0" applyFill="0" applyBorder="0" applyAlignment="0" applyProtection="0"/>
    <xf numFmtId="164" fontId="13" fillId="0" borderId="0" applyFont="0" applyFill="0" applyBorder="0" applyAlignment="0" applyProtection="0"/>
    <xf numFmtId="0" fontId="12" fillId="0" borderId="0"/>
    <xf numFmtId="9" fontId="13" fillId="0" borderId="0" applyFont="0" applyFill="0" applyBorder="0" applyAlignment="0" applyProtection="0"/>
    <xf numFmtId="9" fontId="12" fillId="0" borderId="0" applyFont="0" applyFill="0" applyBorder="0" applyAlignment="0" applyProtection="0"/>
    <xf numFmtId="0" fontId="12" fillId="0" borderId="0"/>
    <xf numFmtId="9" fontId="19"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xf numFmtId="0" fontId="12" fillId="0" borderId="0"/>
    <xf numFmtId="0" fontId="10" fillId="0" borderId="0"/>
    <xf numFmtId="167" fontId="24" fillId="0" borderId="0" applyFont="0" applyFill="0" applyBorder="0" applyAlignment="0" applyProtection="0"/>
    <xf numFmtId="9" fontId="12" fillId="0" borderId="0" applyFont="0" applyFill="0" applyBorder="0" applyAlignment="0" applyProtection="0"/>
    <xf numFmtId="0" fontId="28" fillId="0" borderId="0" applyNumberFormat="0" applyFill="0" applyBorder="0" applyAlignment="0" applyProtection="0"/>
    <xf numFmtId="43" fontId="43" fillId="0" borderId="0" applyFont="0" applyFill="0" applyBorder="0" applyAlignment="0" applyProtection="0"/>
    <xf numFmtId="0" fontId="5" fillId="0" borderId="0"/>
    <xf numFmtId="167" fontId="12" fillId="0" borderId="0" applyFont="0" applyFill="0" applyBorder="0" applyAlignment="0" applyProtection="0"/>
    <xf numFmtId="44" fontId="54" fillId="0" borderId="0" applyFont="0" applyFill="0" applyBorder="0" applyAlignment="0" applyProtection="0"/>
    <xf numFmtId="0" fontId="28" fillId="0" borderId="0" applyNumberFormat="0" applyFill="0" applyBorder="0" applyAlignment="0" applyProtection="0"/>
    <xf numFmtId="170" fontId="12" fillId="0" borderId="0" applyFont="0" applyFill="0" applyBorder="0" applyAlignment="0" applyProtection="0"/>
  </cellStyleXfs>
  <cellXfs count="671">
    <xf numFmtId="0" fontId="0" fillId="0" borderId="0" xfId="0"/>
    <xf numFmtId="3" fontId="11" fillId="2"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0" xfId="0" applyFont="1" applyBorder="1"/>
    <xf numFmtId="0" fontId="14" fillId="5" borderId="0" xfId="0" applyFont="1" applyFill="1" applyBorder="1" applyAlignment="1">
      <alignment vertical="center" wrapText="1"/>
    </xf>
    <xf numFmtId="0" fontId="14" fillId="6" borderId="0" xfId="0" applyFont="1" applyFill="1" applyBorder="1" applyAlignment="1">
      <alignment vertical="center" wrapText="1"/>
    </xf>
    <xf numFmtId="0" fontId="12" fillId="7" borderId="0" xfId="0" applyFont="1" applyFill="1" applyAlignment="1">
      <alignment vertical="center"/>
    </xf>
    <xf numFmtId="0" fontId="15" fillId="0" borderId="7" xfId="0" applyFont="1" applyFill="1" applyBorder="1" applyAlignment="1">
      <alignment horizontal="justify" vertical="center" wrapText="1"/>
    </xf>
    <xf numFmtId="9" fontId="15" fillId="4" borderId="7" xfId="0" applyNumberFormat="1" applyFont="1" applyFill="1" applyBorder="1" applyAlignment="1">
      <alignment horizontal="center" vertical="center"/>
    </xf>
    <xf numFmtId="0" fontId="0" fillId="0" borderId="0" xfId="0"/>
    <xf numFmtId="0" fontId="0" fillId="0" borderId="0" xfId="0" applyAlignment="1">
      <alignment horizontal="center" vertical="center" wrapText="1"/>
    </xf>
    <xf numFmtId="0" fontId="0" fillId="0" borderId="0" xfId="0"/>
    <xf numFmtId="0" fontId="16" fillId="8" borderId="7" xfId="0" applyFont="1" applyFill="1" applyBorder="1" applyAlignment="1">
      <alignment horizontal="center" vertical="center"/>
    </xf>
    <xf numFmtId="0" fontId="0" fillId="0" borderId="0" xfId="0" applyAlignment="1">
      <alignment horizontal="left" wrapText="1"/>
    </xf>
    <xf numFmtId="0" fontId="0" fillId="0" borderId="0" xfId="0" applyAlignment="1">
      <alignment wrapText="1"/>
    </xf>
    <xf numFmtId="0" fontId="12" fillId="0" borderId="0" xfId="0" applyFont="1" applyAlignment="1">
      <alignment horizontal="left" wrapText="1"/>
    </xf>
    <xf numFmtId="0" fontId="15" fillId="0" borderId="7" xfId="0" applyFont="1" applyFill="1" applyBorder="1" applyAlignment="1">
      <alignment horizontal="center" vertical="center" wrapText="1"/>
    </xf>
    <xf numFmtId="14" fontId="15" fillId="0" borderId="7" xfId="0" applyNumberFormat="1" applyFont="1" applyFill="1" applyBorder="1" applyAlignment="1">
      <alignment horizontal="center" vertical="center"/>
    </xf>
    <xf numFmtId="9" fontId="15" fillId="0" borderId="7" xfId="0" applyNumberFormat="1" applyFont="1" applyFill="1" applyBorder="1" applyAlignment="1">
      <alignment horizontal="center" vertical="center"/>
    </xf>
    <xf numFmtId="0" fontId="18" fillId="0" borderId="7" xfId="0" applyFont="1" applyBorder="1" applyAlignment="1">
      <alignment horizontal="justify" vertical="center" wrapText="1"/>
    </xf>
    <xf numFmtId="9" fontId="15" fillId="0" borderId="7" xfId="0" applyNumberFormat="1" applyFont="1" applyFill="1" applyBorder="1" applyAlignment="1">
      <alignment horizontal="center" vertical="center" wrapText="1"/>
    </xf>
    <xf numFmtId="14" fontId="15" fillId="0" borderId="7" xfId="0" applyNumberFormat="1" applyFont="1" applyFill="1" applyBorder="1" applyAlignment="1">
      <alignment horizontal="center" vertical="center" wrapText="1"/>
    </xf>
    <xf numFmtId="9" fontId="15" fillId="4" borderId="7" xfId="7" applyFont="1" applyFill="1" applyBorder="1" applyAlignment="1">
      <alignment horizontal="center" vertical="center"/>
    </xf>
    <xf numFmtId="0" fontId="18" fillId="0" borderId="7" xfId="0" applyFont="1" applyBorder="1" applyAlignment="1">
      <alignment horizontal="left" vertical="center" wrapText="1"/>
    </xf>
    <xf numFmtId="0" fontId="15" fillId="4" borderId="7"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2" fillId="0" borderId="0" xfId="0" applyFont="1"/>
    <xf numFmtId="0" fontId="21" fillId="0" borderId="7" xfId="0" applyFont="1" applyFill="1" applyBorder="1" applyAlignment="1">
      <alignment horizontal="justify" vertical="center" wrapText="1"/>
    </xf>
    <xf numFmtId="0" fontId="12" fillId="0" borderId="0" xfId="0" applyFont="1" applyAlignment="1">
      <alignment wrapText="1"/>
    </xf>
    <xf numFmtId="0" fontId="22" fillId="0" borderId="0" xfId="0" applyFont="1" applyAlignment="1">
      <alignment horizontal="left" vertical="center"/>
    </xf>
    <xf numFmtId="0" fontId="0" fillId="0" borderId="7" xfId="0" applyBorder="1"/>
    <xf numFmtId="0" fontId="12" fillId="0" borderId="7" xfId="0" applyFont="1" applyBorder="1" applyAlignment="1">
      <alignment horizontal="center" vertical="center" wrapText="1"/>
    </xf>
    <xf numFmtId="0" fontId="18" fillId="0" borderId="7" xfId="0" applyFont="1" applyFill="1" applyBorder="1" applyAlignment="1">
      <alignment horizontal="left" vertical="top" wrapText="1"/>
    </xf>
    <xf numFmtId="0" fontId="12" fillId="0" borderId="7" xfId="0" applyFont="1" applyBorder="1" applyAlignment="1">
      <alignment horizontal="center" vertical="center" wrapText="1"/>
    </xf>
    <xf numFmtId="0" fontId="18" fillId="0" borderId="7" xfId="0" applyFont="1" applyBorder="1" applyAlignment="1">
      <alignment horizontal="left" vertical="top" wrapText="1"/>
    </xf>
    <xf numFmtId="0" fontId="0" fillId="0" borderId="7" xfId="0" applyBorder="1" applyAlignment="1">
      <alignment horizontal="center" vertical="center" wrapText="1"/>
    </xf>
    <xf numFmtId="0" fontId="23" fillId="0" borderId="7" xfId="3" applyFont="1" applyFill="1" applyBorder="1" applyAlignment="1">
      <alignment horizontal="justify" vertical="top" wrapText="1"/>
    </xf>
    <xf numFmtId="0" fontId="12" fillId="0" borderId="7" xfId="0" applyFont="1" applyBorder="1" applyAlignment="1">
      <alignment horizontal="left" vertical="center"/>
    </xf>
    <xf numFmtId="0" fontId="23" fillId="0" borderId="7" xfId="0" applyFont="1" applyBorder="1" applyAlignment="1">
      <alignment horizontal="justify" vertical="top" wrapText="1"/>
    </xf>
    <xf numFmtId="0" fontId="0" fillId="0" borderId="7" xfId="0" applyBorder="1" applyAlignment="1">
      <alignment horizontal="left" vertical="center"/>
    </xf>
    <xf numFmtId="0" fontId="15" fillId="4" borderId="7" xfId="0" applyFont="1" applyFill="1" applyBorder="1" applyAlignment="1">
      <alignment horizontal="justify" vertical="center" wrapText="1"/>
    </xf>
    <xf numFmtId="0" fontId="21" fillId="4" borderId="7" xfId="0" applyFont="1" applyFill="1" applyBorder="1" applyAlignment="1">
      <alignment horizontal="justify" vertical="center" wrapText="1"/>
    </xf>
    <xf numFmtId="14" fontId="15" fillId="4" borderId="7" xfId="0" applyNumberFormat="1" applyFont="1" applyFill="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9" fontId="25" fillId="0" borderId="7" xfId="14" applyFont="1" applyFill="1" applyBorder="1" applyAlignment="1">
      <alignment horizontal="center" vertical="center" wrapText="1"/>
    </xf>
    <xf numFmtId="9" fontId="0" fillId="0" borderId="1" xfId="0" applyNumberFormat="1" applyBorder="1" applyAlignment="1">
      <alignment horizontal="center" vertical="center"/>
    </xf>
    <xf numFmtId="0" fontId="27" fillId="0" borderId="1" xfId="0" applyFont="1" applyFill="1" applyBorder="1" applyAlignment="1">
      <alignment vertical="center"/>
    </xf>
    <xf numFmtId="9" fontId="27" fillId="0" borderId="1" xfId="7" applyFont="1" applyFill="1" applyBorder="1" applyAlignment="1">
      <alignment horizontal="center" vertical="center"/>
    </xf>
    <xf numFmtId="0" fontId="31" fillId="0" borderId="0" xfId="0" applyFont="1" applyAlignment="1">
      <alignment horizontal="center" vertical="center"/>
    </xf>
    <xf numFmtId="0" fontId="30" fillId="0" borderId="0" xfId="0" applyFont="1" applyAlignment="1">
      <alignment horizontal="center" vertical="center"/>
    </xf>
    <xf numFmtId="0" fontId="16" fillId="8" borderId="1" xfId="0" applyFont="1" applyFill="1" applyBorder="1" applyAlignment="1">
      <alignment horizontal="center" vertical="center"/>
    </xf>
    <xf numFmtId="0" fontId="26" fillId="9" borderId="1" xfId="0" applyFont="1" applyFill="1" applyBorder="1" applyAlignment="1">
      <alignment horizontal="center" vertical="center" wrapText="1"/>
    </xf>
    <xf numFmtId="0" fontId="16" fillId="8" borderId="1" xfId="0" applyFont="1" applyFill="1" applyBorder="1" applyAlignment="1">
      <alignment horizontal="center" vertical="center"/>
    </xf>
    <xf numFmtId="0" fontId="33" fillId="8" borderId="1" xfId="0" applyFont="1" applyFill="1" applyBorder="1" applyAlignment="1">
      <alignment horizontal="center" vertical="center" wrapText="1"/>
    </xf>
    <xf numFmtId="0" fontId="0" fillId="0" borderId="0" xfId="0" applyAlignment="1">
      <alignment vertical="center"/>
    </xf>
    <xf numFmtId="9" fontId="27" fillId="0" borderId="1" xfId="0" applyNumberFormat="1" applyFont="1" applyFill="1" applyBorder="1" applyAlignment="1">
      <alignment horizontal="center" vertical="center"/>
    </xf>
    <xf numFmtId="0" fontId="12" fillId="0" borderId="0" xfId="0" applyFont="1" applyAlignment="1">
      <alignment vertical="center"/>
    </xf>
    <xf numFmtId="0" fontId="0" fillId="0" borderId="1" xfId="0" applyBorder="1" applyAlignment="1">
      <alignment horizontal="center" vertical="center"/>
    </xf>
    <xf numFmtId="9" fontId="0" fillId="12" borderId="1" xfId="7" applyFont="1" applyFill="1" applyBorder="1" applyAlignment="1">
      <alignment horizontal="center" vertical="center"/>
    </xf>
    <xf numFmtId="9" fontId="25" fillId="4" borderId="7" xfId="14" applyFont="1" applyFill="1" applyBorder="1" applyAlignment="1">
      <alignment horizontal="center" vertical="center" wrapText="1"/>
    </xf>
    <xf numFmtId="0" fontId="23" fillId="0" borderId="0" xfId="0" applyFont="1"/>
    <xf numFmtId="0" fontId="9" fillId="0" borderId="8" xfId="0" applyFont="1" applyBorder="1" applyAlignment="1">
      <alignment horizontal="center" vertical="center" wrapText="1"/>
    </xf>
    <xf numFmtId="0" fontId="9" fillId="0" borderId="7"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38" fillId="8" borderId="7" xfId="0" applyFont="1" applyFill="1" applyBorder="1" applyAlignment="1">
      <alignment horizontal="center" vertical="center"/>
    </xf>
    <xf numFmtId="0" fontId="38" fillId="8" borderId="7" xfId="0" applyFont="1" applyFill="1" applyBorder="1" applyAlignment="1">
      <alignment horizontal="center" vertical="center" wrapText="1"/>
    </xf>
    <xf numFmtId="0" fontId="38" fillId="10" borderId="7" xfId="0" applyFont="1" applyFill="1" applyBorder="1" applyAlignment="1">
      <alignment horizontal="center" vertical="center" wrapText="1"/>
    </xf>
    <xf numFmtId="9" fontId="25" fillId="4" borderId="7" xfId="14" applyFont="1" applyFill="1" applyBorder="1" applyAlignment="1">
      <alignment horizontal="center" vertical="center"/>
    </xf>
    <xf numFmtId="0" fontId="35" fillId="0" borderId="0" xfId="0" applyFont="1" applyAlignment="1">
      <alignment wrapText="1"/>
    </xf>
    <xf numFmtId="0" fontId="35" fillId="0" borderId="0" xfId="0" applyFont="1"/>
    <xf numFmtId="9" fontId="25" fillId="0" borderId="7" xfId="14" applyFont="1" applyFill="1" applyBorder="1" applyAlignment="1">
      <alignment horizontal="center" vertical="center"/>
    </xf>
    <xf numFmtId="0" fontId="23" fillId="4" borderId="0" xfId="0" applyFont="1" applyFill="1"/>
    <xf numFmtId="9" fontId="25" fillId="0" borderId="7" xfId="7" applyFont="1" applyFill="1" applyBorder="1" applyAlignment="1">
      <alignment horizontal="center" vertical="center" wrapText="1"/>
    </xf>
    <xf numFmtId="0" fontId="40" fillId="0" borderId="0" xfId="0" applyFont="1"/>
    <xf numFmtId="0" fontId="9" fillId="0" borderId="7" xfId="0" applyFont="1" applyBorder="1" applyAlignment="1">
      <alignment horizontal="center" vertical="center" wrapText="1"/>
    </xf>
    <xf numFmtId="0" fontId="9" fillId="4" borderId="8" xfId="0" applyFont="1" applyFill="1" applyBorder="1" applyAlignment="1">
      <alignment horizontal="center" vertical="center" wrapText="1"/>
    </xf>
    <xf numFmtId="0" fontId="25" fillId="4" borderId="7" xfId="14" applyNumberFormat="1" applyFont="1" applyFill="1" applyBorder="1" applyAlignment="1">
      <alignment horizontal="center" vertical="center" wrapText="1"/>
    </xf>
    <xf numFmtId="0" fontId="25" fillId="0" borderId="7" xfId="14" applyNumberFormat="1" applyFont="1" applyFill="1" applyBorder="1" applyAlignment="1">
      <alignment horizontal="center" vertical="center" wrapText="1"/>
    </xf>
    <xf numFmtId="0" fontId="9" fillId="0" borderId="7" xfId="0" applyFont="1" applyBorder="1" applyAlignment="1">
      <alignment horizontal="center" vertical="center"/>
    </xf>
    <xf numFmtId="0" fontId="9" fillId="0" borderId="8" xfId="0" applyFont="1" applyFill="1" applyBorder="1" applyAlignment="1">
      <alignment horizontal="center" vertical="center" wrapText="1"/>
    </xf>
    <xf numFmtId="9" fontId="35" fillId="0" borderId="0" xfId="7" applyFont="1"/>
    <xf numFmtId="0" fontId="9" fillId="0" borderId="7" xfId="0" applyFont="1" applyFill="1" applyBorder="1" applyAlignment="1">
      <alignment horizontal="justify" vertical="center" wrapText="1"/>
    </xf>
    <xf numFmtId="9" fontId="9" fillId="0" borderId="7" xfId="0" applyNumberFormat="1" applyFont="1" applyFill="1" applyBorder="1" applyAlignment="1">
      <alignment horizontal="center" vertical="center"/>
    </xf>
    <xf numFmtId="9" fontId="9" fillId="0" borderId="7" xfId="0" applyNumberFormat="1"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14" fontId="9" fillId="0" borderId="7" xfId="0" applyNumberFormat="1" applyFont="1" applyFill="1" applyBorder="1" applyAlignment="1">
      <alignment horizontal="center" vertical="center"/>
    </xf>
    <xf numFmtId="9" fontId="9" fillId="4" borderId="7" xfId="0" applyNumberFormat="1" applyFont="1" applyFill="1" applyBorder="1" applyAlignment="1">
      <alignment horizontal="center" vertical="center"/>
    </xf>
    <xf numFmtId="0" fontId="9" fillId="4" borderId="7" xfId="0" applyFont="1" applyFill="1" applyBorder="1" applyAlignment="1">
      <alignment horizontal="center" vertical="center"/>
    </xf>
    <xf numFmtId="9" fontId="25" fillId="4" borderId="13" xfId="14" quotePrefix="1" applyFont="1" applyFill="1" applyBorder="1" applyAlignment="1">
      <alignment horizontal="left" vertical="center" wrapText="1"/>
    </xf>
    <xf numFmtId="9" fontId="9" fillId="4" borderId="7" xfId="7" applyFont="1" applyFill="1" applyBorder="1" applyAlignment="1">
      <alignment horizontal="center" vertical="center"/>
    </xf>
    <xf numFmtId="9" fontId="9" fillId="4" borderId="7" xfId="14" applyFont="1" applyFill="1" applyBorder="1" applyAlignment="1">
      <alignment horizontal="center" vertical="center"/>
    </xf>
    <xf numFmtId="0" fontId="39" fillId="0" borderId="0" xfId="0" applyFont="1" applyAlignment="1">
      <alignment horizontal="justify" vertical="center"/>
    </xf>
    <xf numFmtId="0" fontId="39" fillId="0" borderId="0" xfId="0" applyFont="1" applyAlignment="1">
      <alignment horizontal="center" vertical="center" wrapText="1"/>
    </xf>
    <xf numFmtId="9" fontId="9" fillId="4" borderId="10" xfId="14" applyFont="1" applyFill="1" applyBorder="1" applyAlignment="1">
      <alignment horizontal="center" vertical="center"/>
    </xf>
    <xf numFmtId="9" fontId="25" fillId="4" borderId="7" xfId="14" applyFont="1" applyFill="1" applyBorder="1" applyAlignment="1">
      <alignment horizontal="left" vertical="center" wrapText="1"/>
    </xf>
    <xf numFmtId="0" fontId="35" fillId="4" borderId="7" xfId="0" applyFont="1" applyFill="1" applyBorder="1" applyAlignment="1">
      <alignment vertical="center" wrapText="1"/>
    </xf>
    <xf numFmtId="14" fontId="9" fillId="4" borderId="7" xfId="0" applyNumberFormat="1" applyFont="1" applyFill="1" applyBorder="1" applyAlignment="1">
      <alignment horizontal="center" vertical="center"/>
    </xf>
    <xf numFmtId="0" fontId="35" fillId="4" borderId="0" xfId="0" applyFont="1" applyFill="1"/>
    <xf numFmtId="0" fontId="35" fillId="4" borderId="9" xfId="0" applyFont="1" applyFill="1" applyBorder="1" applyAlignment="1">
      <alignment vertical="center" wrapText="1"/>
    </xf>
    <xf numFmtId="0" fontId="9" fillId="0" borderId="10" xfId="0" applyFont="1" applyBorder="1" applyAlignment="1">
      <alignment horizontal="center" vertical="center" wrapText="1"/>
    </xf>
    <xf numFmtId="0" fontId="9" fillId="4" borderId="22" xfId="0" applyFont="1" applyFill="1" applyBorder="1" applyAlignment="1">
      <alignment vertical="center" wrapText="1"/>
    </xf>
    <xf numFmtId="9" fontId="9" fillId="0" borderId="7" xfId="0" applyNumberFormat="1" applyFont="1" applyBorder="1" applyAlignment="1">
      <alignment horizontal="center" vertical="center"/>
    </xf>
    <xf numFmtId="0" fontId="9" fillId="4" borderId="7" xfId="0" applyFont="1" applyFill="1" applyBorder="1" applyAlignment="1" applyProtection="1">
      <alignment horizontal="center" vertical="center" wrapText="1"/>
    </xf>
    <xf numFmtId="14" fontId="9" fillId="0" borderId="7" xfId="0" applyNumberFormat="1" applyFont="1" applyBorder="1" applyAlignment="1">
      <alignment horizontal="center" vertical="center"/>
    </xf>
    <xf numFmtId="0" fontId="9" fillId="4" borderId="19" xfId="0" applyFont="1" applyFill="1" applyBorder="1" applyAlignment="1">
      <alignment vertical="center" wrapText="1"/>
    </xf>
    <xf numFmtId="0" fontId="9" fillId="0" borderId="0" xfId="0" applyFont="1" applyAlignment="1">
      <alignment horizontal="center" vertical="center"/>
    </xf>
    <xf numFmtId="0" fontId="35" fillId="0" borderId="0" xfId="3" applyFont="1"/>
    <xf numFmtId="0" fontId="38" fillId="8" borderId="7" xfId="3" applyFont="1" applyFill="1" applyBorder="1" applyAlignment="1">
      <alignment horizontal="center" vertical="center"/>
    </xf>
    <xf numFmtId="0" fontId="38" fillId="8" borderId="7" xfId="3" applyFont="1" applyFill="1" applyBorder="1" applyAlignment="1">
      <alignment horizontal="center" vertical="center" wrapText="1"/>
    </xf>
    <xf numFmtId="9" fontId="37" fillId="0" borderId="7" xfId="3" applyNumberFormat="1" applyFont="1" applyFill="1" applyBorder="1" applyAlignment="1">
      <alignment horizontal="left" vertical="top" wrapText="1"/>
    </xf>
    <xf numFmtId="9" fontId="37" fillId="0" borderId="7" xfId="3" applyNumberFormat="1" applyFont="1" applyFill="1" applyBorder="1" applyAlignment="1">
      <alignment horizontal="center" vertical="center"/>
    </xf>
    <xf numFmtId="0" fontId="37" fillId="0" borderId="7" xfId="3" applyFont="1" applyFill="1" applyBorder="1" applyAlignment="1">
      <alignment horizontal="center" vertical="center" wrapText="1"/>
    </xf>
    <xf numFmtId="9" fontId="37" fillId="0" borderId="7" xfId="3" applyNumberFormat="1" applyFont="1" applyFill="1" applyBorder="1" applyAlignment="1">
      <alignment horizontal="center" vertical="center" wrapText="1"/>
    </xf>
    <xf numFmtId="0" fontId="9" fillId="4" borderId="8" xfId="3" applyFont="1" applyFill="1" applyBorder="1" applyAlignment="1">
      <alignment horizontal="center" vertical="center" wrapText="1"/>
    </xf>
    <xf numFmtId="14" fontId="37" fillId="0" borderId="7" xfId="3" applyNumberFormat="1" applyFont="1" applyFill="1" applyBorder="1" applyAlignment="1">
      <alignment horizontal="center" vertical="center" wrapText="1"/>
    </xf>
    <xf numFmtId="14" fontId="37" fillId="0" borderId="7" xfId="3" applyNumberFormat="1" applyFont="1" applyFill="1" applyBorder="1" applyAlignment="1">
      <alignment horizontal="center" vertical="center"/>
    </xf>
    <xf numFmtId="9" fontId="37" fillId="4" borderId="7" xfId="14" applyFont="1" applyFill="1" applyBorder="1" applyAlignment="1">
      <alignment horizontal="center" vertical="center"/>
    </xf>
    <xf numFmtId="0" fontId="9" fillId="0" borderId="8" xfId="3" applyFont="1" applyFill="1" applyBorder="1" applyAlignment="1">
      <alignment horizontal="center" vertical="center" wrapText="1"/>
    </xf>
    <xf numFmtId="0" fontId="9" fillId="0" borderId="9" xfId="3" applyFont="1" applyFill="1" applyBorder="1" applyAlignment="1">
      <alignment horizontal="center" vertical="center" wrapText="1"/>
    </xf>
    <xf numFmtId="0" fontId="9" fillId="0" borderId="7" xfId="3" applyFont="1" applyBorder="1" applyAlignment="1">
      <alignment horizontal="center" vertical="center" wrapText="1"/>
    </xf>
    <xf numFmtId="0" fontId="9" fillId="0" borderId="7" xfId="3" applyFont="1" applyFill="1" applyBorder="1" applyAlignment="1">
      <alignment horizontal="center" vertical="center" wrapText="1"/>
    </xf>
    <xf numFmtId="0" fontId="40" fillId="0" borderId="0" xfId="3" applyFont="1"/>
    <xf numFmtId="9" fontId="41" fillId="4" borderId="7" xfId="14" applyFont="1" applyFill="1" applyBorder="1" applyAlignment="1">
      <alignment horizontal="left" vertical="center" wrapText="1"/>
    </xf>
    <xf numFmtId="9" fontId="41" fillId="4" borderId="13" xfId="14" quotePrefix="1" applyFont="1" applyFill="1" applyBorder="1" applyAlignment="1">
      <alignment horizontal="left" vertical="center" wrapText="1"/>
    </xf>
    <xf numFmtId="9" fontId="25" fillId="4" borderId="9" xfId="14" quotePrefix="1" applyFont="1" applyFill="1" applyBorder="1" applyAlignment="1">
      <alignment horizontal="center" vertical="center" wrapText="1"/>
    </xf>
    <xf numFmtId="9" fontId="25" fillId="4" borderId="13" xfId="14" quotePrefix="1" applyFont="1" applyFill="1" applyBorder="1" applyAlignment="1">
      <alignment horizontal="center" vertical="center" wrapText="1"/>
    </xf>
    <xf numFmtId="9" fontId="25" fillId="4" borderId="13" xfId="14" quotePrefix="1" applyFont="1" applyFill="1" applyBorder="1" applyAlignment="1">
      <alignment horizontal="center" vertical="center" wrapText="1"/>
    </xf>
    <xf numFmtId="9" fontId="6" fillId="4" borderId="13" xfId="14" quotePrefix="1" applyFont="1" applyFill="1" applyBorder="1" applyAlignment="1">
      <alignment horizontal="center" vertical="center" wrapText="1"/>
    </xf>
    <xf numFmtId="9" fontId="6" fillId="4" borderId="13" xfId="14" quotePrefix="1" applyFont="1" applyFill="1" applyBorder="1" applyAlignment="1">
      <alignment horizontal="justify" vertical="center" wrapText="1"/>
    </xf>
    <xf numFmtId="9" fontId="12" fillId="0" borderId="0" xfId="0" applyNumberFormat="1" applyFont="1" applyAlignment="1">
      <alignment horizontal="center" vertical="center"/>
    </xf>
    <xf numFmtId="0" fontId="9" fillId="4" borderId="7" xfId="0" applyFont="1" applyFill="1" applyBorder="1" applyAlignment="1">
      <alignment horizontal="center" vertical="center" wrapText="1"/>
    </xf>
    <xf numFmtId="0" fontId="44" fillId="0" borderId="0" xfId="0" applyFont="1"/>
    <xf numFmtId="0" fontId="16" fillId="10" borderId="7" xfId="0" applyFont="1" applyFill="1" applyBorder="1" applyAlignment="1">
      <alignment horizontal="center" vertical="center" wrapText="1"/>
    </xf>
    <xf numFmtId="0" fontId="41" fillId="0" borderId="7" xfId="0" applyFont="1" applyFill="1" applyBorder="1" applyAlignment="1">
      <alignment horizontal="center" vertical="center" wrapText="1"/>
    </xf>
    <xf numFmtId="14" fontId="41" fillId="0" borderId="7" xfId="0" applyNumberFormat="1" applyFont="1" applyFill="1" applyBorder="1" applyAlignment="1">
      <alignment horizontal="center" vertical="center"/>
    </xf>
    <xf numFmtId="9" fontId="41" fillId="4" borderId="7" xfId="14" applyFont="1" applyFill="1" applyBorder="1" applyAlignment="1">
      <alignment horizontal="center" vertical="center"/>
    </xf>
    <xf numFmtId="9" fontId="41" fillId="4" borderId="7" xfId="14" applyFont="1" applyFill="1" applyBorder="1" applyAlignment="1">
      <alignment horizontal="center" vertical="center" wrapText="1"/>
    </xf>
    <xf numFmtId="1" fontId="41" fillId="4" borderId="7" xfId="14" applyNumberFormat="1" applyFont="1" applyFill="1" applyBorder="1" applyAlignment="1">
      <alignment horizontal="center" vertical="center" wrapText="1"/>
    </xf>
    <xf numFmtId="43" fontId="44" fillId="0" borderId="0" xfId="16" applyFont="1"/>
    <xf numFmtId="14" fontId="41" fillId="0" borderId="7" xfId="0" applyNumberFormat="1" applyFont="1" applyFill="1" applyBorder="1" applyAlignment="1">
      <alignment horizontal="center" vertical="center" wrapText="1"/>
    </xf>
    <xf numFmtId="9" fontId="41" fillId="0" borderId="7" xfId="0" applyNumberFormat="1" applyFont="1" applyBorder="1" applyAlignment="1">
      <alignment horizontal="center" vertical="center" wrapText="1"/>
    </xf>
    <xf numFmtId="9" fontId="41" fillId="0" borderId="7" xfId="14" applyFont="1" applyFill="1" applyBorder="1" applyAlignment="1">
      <alignment horizontal="center" vertical="center" wrapText="1"/>
    </xf>
    <xf numFmtId="0" fontId="18" fillId="0" borderId="7" xfId="0" applyFont="1" applyFill="1" applyBorder="1" applyAlignment="1">
      <alignment horizontal="center" vertical="center" wrapText="1"/>
    </xf>
    <xf numFmtId="9" fontId="41" fillId="0" borderId="7" xfId="14" applyFont="1" applyFill="1" applyBorder="1" applyAlignment="1">
      <alignment horizontal="center" vertical="center"/>
    </xf>
    <xf numFmtId="9" fontId="41" fillId="4" borderId="7" xfId="7" applyFont="1" applyFill="1" applyBorder="1" applyAlignment="1">
      <alignment horizontal="center" vertical="center" wrapText="1"/>
    </xf>
    <xf numFmtId="0" fontId="44" fillId="0" borderId="0" xfId="0" applyFont="1" applyAlignment="1">
      <alignment horizontal="left" wrapText="1"/>
    </xf>
    <xf numFmtId="9" fontId="41" fillId="4" borderId="7" xfId="0" applyNumberFormat="1" applyFont="1" applyFill="1" applyBorder="1" applyAlignment="1">
      <alignment horizontal="center" vertical="center"/>
    </xf>
    <xf numFmtId="0" fontId="44" fillId="0" borderId="0" xfId="0" applyFont="1" applyAlignment="1">
      <alignment wrapText="1"/>
    </xf>
    <xf numFmtId="0" fontId="18" fillId="4" borderId="7" xfId="0" applyFont="1" applyFill="1" applyBorder="1" applyAlignment="1">
      <alignment horizontal="center" vertical="center" wrapText="1"/>
    </xf>
    <xf numFmtId="0" fontId="44" fillId="0" borderId="0" xfId="0" applyFont="1" applyAlignment="1">
      <alignment horizontal="center" vertical="center" wrapText="1"/>
    </xf>
    <xf numFmtId="0" fontId="44" fillId="4" borderId="0" xfId="0" applyFont="1" applyFill="1"/>
    <xf numFmtId="0" fontId="18" fillId="0" borderId="0" xfId="0" applyFont="1"/>
    <xf numFmtId="9" fontId="41" fillId="0" borderId="7" xfId="7" applyFont="1" applyFill="1" applyBorder="1" applyAlignment="1">
      <alignment horizontal="center" vertical="center" wrapText="1"/>
    </xf>
    <xf numFmtId="10" fontId="41" fillId="0" borderId="7" xfId="0" applyNumberFormat="1" applyFont="1" applyFill="1" applyBorder="1" applyAlignment="1">
      <alignment horizontal="center" vertical="center" wrapText="1"/>
    </xf>
    <xf numFmtId="9" fontId="18" fillId="4" borderId="13" xfId="14" quotePrefix="1" applyFont="1" applyFill="1" applyBorder="1" applyAlignment="1">
      <alignment horizontal="center" vertical="center" wrapText="1"/>
    </xf>
    <xf numFmtId="9" fontId="25" fillId="4" borderId="13" xfId="14" quotePrefix="1" applyFont="1" applyFill="1" applyBorder="1" applyAlignment="1">
      <alignment horizontal="left" vertical="center" wrapText="1"/>
    </xf>
    <xf numFmtId="9" fontId="41" fillId="0" borderId="7" xfId="3" applyNumberFormat="1" applyFont="1" applyFill="1" applyBorder="1" applyAlignment="1">
      <alignment horizontal="center" vertical="center" wrapText="1"/>
    </xf>
    <xf numFmtId="168" fontId="25" fillId="0" borderId="13" xfId="16" quotePrefix="1" applyNumberFormat="1" applyFont="1" applyFill="1" applyBorder="1" applyAlignment="1">
      <alignment horizontal="center" vertical="center" wrapText="1"/>
    </xf>
    <xf numFmtId="168" fontId="25" fillId="0" borderId="8" xfId="16" quotePrefix="1" applyNumberFormat="1" applyFont="1" applyFill="1" applyBorder="1" applyAlignment="1">
      <alignment vertical="center" wrapText="1"/>
    </xf>
    <xf numFmtId="9" fontId="5" fillId="4" borderId="13" xfId="14" quotePrefix="1" applyFont="1" applyFill="1" applyBorder="1" applyAlignment="1">
      <alignment horizontal="justify" vertical="center" wrapText="1"/>
    </xf>
    <xf numFmtId="9" fontId="35" fillId="4" borderId="0" xfId="7" applyFont="1" applyFill="1"/>
    <xf numFmtId="9" fontId="18" fillId="0" borderId="7" xfId="14" applyFont="1" applyBorder="1" applyAlignment="1">
      <alignment horizontal="center" vertical="center" wrapText="1"/>
    </xf>
    <xf numFmtId="0" fontId="41" fillId="4" borderId="7" xfId="0" applyFont="1" applyFill="1" applyBorder="1" applyAlignment="1">
      <alignment horizontal="center" vertical="center" wrapText="1"/>
    </xf>
    <xf numFmtId="9" fontId="41" fillId="0" borderId="8" xfId="0" applyNumberFormat="1"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9" fontId="41" fillId="0" borderId="8" xfId="14" applyFont="1" applyFill="1" applyBorder="1" applyAlignment="1">
      <alignment horizontal="center" vertical="center" wrapText="1"/>
    </xf>
    <xf numFmtId="0" fontId="41" fillId="0" borderId="9" xfId="0" applyFont="1" applyBorder="1" applyAlignment="1">
      <alignment horizontal="center" vertical="center" wrapText="1"/>
    </xf>
    <xf numFmtId="0" fontId="16" fillId="8" borderId="7" xfId="0" applyFont="1" applyFill="1" applyBorder="1" applyAlignment="1">
      <alignment horizontal="center" vertical="center" wrapText="1"/>
    </xf>
    <xf numFmtId="0" fontId="41" fillId="0" borderId="7" xfId="0" applyFont="1" applyBorder="1" applyAlignment="1">
      <alignment horizontal="center" vertical="center" wrapText="1"/>
    </xf>
    <xf numFmtId="9" fontId="41" fillId="0" borderId="7" xfId="0" applyNumberFormat="1" applyFont="1" applyFill="1" applyBorder="1" applyAlignment="1">
      <alignment horizontal="center" vertical="center" wrapText="1"/>
    </xf>
    <xf numFmtId="0" fontId="38" fillId="8"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41" fillId="0" borderId="8" xfId="3" applyFont="1" applyFill="1" applyBorder="1" applyAlignment="1">
      <alignment horizontal="center" vertical="center"/>
    </xf>
    <xf numFmtId="14" fontId="41" fillId="0" borderId="7" xfId="3" applyNumberFormat="1" applyFont="1" applyFill="1" applyBorder="1" applyAlignment="1">
      <alignment horizontal="center" vertical="center"/>
    </xf>
    <xf numFmtId="9" fontId="41" fillId="0" borderId="7" xfId="3" applyNumberFormat="1" applyFont="1" applyFill="1" applyBorder="1" applyAlignment="1">
      <alignment horizontal="center" vertical="center"/>
    </xf>
    <xf numFmtId="9" fontId="44" fillId="0" borderId="0" xfId="0" applyNumberFormat="1" applyFont="1" applyFill="1" applyAlignment="1">
      <alignment horizontal="center" vertical="center"/>
    </xf>
    <xf numFmtId="0" fontId="44" fillId="0" borderId="0" xfId="0" applyFont="1" applyFill="1" applyAlignment="1">
      <alignment horizontal="center" vertical="center"/>
    </xf>
    <xf numFmtId="0" fontId="41" fillId="0" borderId="10" xfId="0" applyFont="1" applyFill="1" applyBorder="1" applyAlignment="1">
      <alignment horizontal="center" vertical="center" wrapText="1"/>
    </xf>
    <xf numFmtId="166" fontId="41" fillId="0" borderId="7" xfId="0" applyNumberFormat="1" applyFont="1" applyFill="1" applyBorder="1" applyAlignment="1">
      <alignment horizontal="center" vertical="center" wrapText="1"/>
    </xf>
    <xf numFmtId="0" fontId="41" fillId="0" borderId="8" xfId="3" applyFont="1" applyFill="1" applyBorder="1" applyAlignment="1">
      <alignment horizontal="center" vertical="center" wrapText="1"/>
    </xf>
    <xf numFmtId="14" fontId="41" fillId="0" borderId="7" xfId="3" applyNumberFormat="1" applyFont="1" applyFill="1" applyBorder="1" applyAlignment="1">
      <alignment horizontal="center" vertical="center" wrapText="1"/>
    </xf>
    <xf numFmtId="0" fontId="41" fillId="0" borderId="9" xfId="3"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41" fillId="4" borderId="7" xfId="3" applyFont="1" applyFill="1" applyBorder="1" applyAlignment="1">
      <alignment horizontal="center" vertical="center" wrapText="1"/>
    </xf>
    <xf numFmtId="0" fontId="35" fillId="0" borderId="0" xfId="0" applyFont="1" applyFill="1"/>
    <xf numFmtId="0" fontId="18" fillId="4" borderId="8" xfId="0" applyFont="1" applyFill="1" applyBorder="1" applyAlignment="1">
      <alignment vertical="center" wrapText="1"/>
    </xf>
    <xf numFmtId="9" fontId="18" fillId="4" borderId="7" xfId="14" applyFont="1" applyFill="1" applyBorder="1" applyAlignment="1">
      <alignment horizontal="center" vertical="center" wrapText="1"/>
    </xf>
    <xf numFmtId="9" fontId="18" fillId="4" borderId="7" xfId="14" applyFont="1" applyFill="1" applyBorder="1" applyAlignment="1">
      <alignment horizontal="justify" vertical="center" wrapText="1"/>
    </xf>
    <xf numFmtId="9" fontId="47" fillId="4" borderId="7" xfId="15" applyNumberFormat="1" applyFont="1" applyFill="1" applyBorder="1" applyAlignment="1">
      <alignment horizontal="center" vertical="center" wrapText="1"/>
    </xf>
    <xf numFmtId="9" fontId="41" fillId="0" borderId="7" xfId="0" applyNumberFormat="1" applyFont="1" applyFill="1" applyBorder="1" applyAlignment="1">
      <alignment horizontal="center" vertical="center"/>
    </xf>
    <xf numFmtId="9" fontId="48" fillId="4" borderId="7" xfId="15" applyNumberFormat="1" applyFont="1" applyFill="1" applyBorder="1" applyAlignment="1">
      <alignment horizontal="center" vertical="center" wrapText="1"/>
    </xf>
    <xf numFmtId="0" fontId="41" fillId="4" borderId="7" xfId="16" applyNumberFormat="1" applyFont="1" applyFill="1" applyBorder="1" applyAlignment="1">
      <alignment horizontal="center" vertical="center" wrapText="1"/>
    </xf>
    <xf numFmtId="0" fontId="12" fillId="0" borderId="0" xfId="0" applyFont="1" applyAlignment="1">
      <alignment horizontal="center" vertical="center"/>
    </xf>
    <xf numFmtId="166" fontId="41" fillId="0" borderId="7" xfId="14" applyNumberFormat="1" applyFont="1" applyFill="1" applyBorder="1" applyAlignment="1">
      <alignment horizontal="center" vertical="center" wrapText="1"/>
    </xf>
    <xf numFmtId="0" fontId="41" fillId="0" borderId="8" xfId="3" applyFont="1" applyBorder="1" applyAlignment="1">
      <alignment horizontal="center" vertical="center" wrapText="1"/>
    </xf>
    <xf numFmtId="0" fontId="41" fillId="4" borderId="8" xfId="11" applyFont="1" applyFill="1" applyBorder="1" applyAlignment="1">
      <alignment horizontal="center" vertical="center" wrapText="1"/>
    </xf>
    <xf numFmtId="9" fontId="41" fillId="0" borderId="8" xfId="3" applyNumberFormat="1" applyFont="1" applyBorder="1" applyAlignment="1">
      <alignment horizontal="center" vertical="center"/>
    </xf>
    <xf numFmtId="0" fontId="41" fillId="0" borderId="7" xfId="3" applyFont="1" applyFill="1" applyBorder="1" applyAlignment="1">
      <alignment horizontal="center" vertical="center" wrapText="1"/>
    </xf>
    <xf numFmtId="0" fontId="41" fillId="4" borderId="7" xfId="11" applyFont="1" applyFill="1" applyBorder="1" applyAlignment="1">
      <alignment horizontal="center" vertical="center" wrapText="1"/>
    </xf>
    <xf numFmtId="14" fontId="41" fillId="0" borderId="7" xfId="3" applyNumberFormat="1" applyFont="1" applyBorder="1" applyAlignment="1">
      <alignment horizontal="center" vertical="center"/>
    </xf>
    <xf numFmtId="9" fontId="41" fillId="0" borderId="7" xfId="3" applyNumberFormat="1" applyFont="1" applyBorder="1" applyAlignment="1">
      <alignment horizontal="center" vertical="center"/>
    </xf>
    <xf numFmtId="0" fontId="27" fillId="13" borderId="30" xfId="0" applyFont="1" applyFill="1" applyBorder="1" applyAlignment="1">
      <alignment horizontal="center" vertical="center" wrapText="1"/>
    </xf>
    <xf numFmtId="0" fontId="41" fillId="4" borderId="11" xfId="3" applyFont="1" applyFill="1" applyBorder="1" applyAlignment="1">
      <alignment horizontal="center" vertical="center" wrapText="1"/>
    </xf>
    <xf numFmtId="0" fontId="41" fillId="4" borderId="8" xfId="3" applyFont="1" applyFill="1" applyBorder="1" applyAlignment="1">
      <alignment horizontal="center" vertical="center" wrapText="1"/>
    </xf>
    <xf numFmtId="0" fontId="12" fillId="0" borderId="0" xfId="0" applyFont="1" applyBorder="1" applyAlignment="1">
      <alignment wrapText="1"/>
    </xf>
    <xf numFmtId="0" fontId="12" fillId="0" borderId="0" xfId="0" applyFont="1" applyFill="1" applyBorder="1" applyAlignment="1">
      <alignment wrapText="1"/>
    </xf>
    <xf numFmtId="9" fontId="41" fillId="4" borderId="7" xfId="3" applyNumberFormat="1" applyFont="1" applyFill="1" applyBorder="1" applyAlignment="1">
      <alignment horizontal="center" vertical="center"/>
    </xf>
    <xf numFmtId="9" fontId="41" fillId="4" borderId="7" xfId="3" applyNumberFormat="1" applyFont="1" applyFill="1" applyBorder="1" applyAlignment="1">
      <alignment horizontal="left" wrapText="1"/>
    </xf>
    <xf numFmtId="0" fontId="48" fillId="0" borderId="0" xfId="15" applyFont="1" applyAlignment="1">
      <alignment vertical="center" wrapText="1"/>
    </xf>
    <xf numFmtId="0" fontId="48" fillId="0" borderId="0" xfId="15" applyFont="1" applyFill="1" applyAlignment="1">
      <alignment vertical="center" wrapText="1"/>
    </xf>
    <xf numFmtId="9" fontId="41" fillId="4" borderId="7" xfId="3" applyNumberFormat="1" applyFont="1" applyFill="1" applyBorder="1" applyAlignment="1">
      <alignment horizontal="left" vertical="center" wrapText="1"/>
    </xf>
    <xf numFmtId="9" fontId="41" fillId="4" borderId="8" xfId="3" applyNumberFormat="1" applyFont="1" applyFill="1" applyBorder="1" applyAlignment="1">
      <alignment horizontal="center" vertical="center"/>
    </xf>
    <xf numFmtId="9" fontId="41" fillId="4" borderId="8" xfId="3" applyNumberFormat="1" applyFont="1" applyFill="1" applyBorder="1" applyAlignment="1">
      <alignment horizontal="center" vertical="center" wrapText="1"/>
    </xf>
    <xf numFmtId="0" fontId="48" fillId="0" borderId="10" xfId="15" applyFont="1" applyBorder="1" applyAlignment="1">
      <alignment horizontal="center" vertical="center" wrapText="1"/>
    </xf>
    <xf numFmtId="0" fontId="48" fillId="0" borderId="10" xfId="15" applyFont="1" applyFill="1" applyBorder="1" applyAlignment="1">
      <alignment horizontal="center" vertical="center" wrapText="1"/>
    </xf>
    <xf numFmtId="0" fontId="41" fillId="0" borderId="7" xfId="3" applyFont="1" applyBorder="1" applyAlignment="1">
      <alignment horizontal="center" vertical="center" wrapText="1"/>
    </xf>
    <xf numFmtId="0" fontId="41" fillId="4" borderId="9" xfId="3" applyFont="1" applyFill="1" applyBorder="1" applyAlignment="1">
      <alignment horizontal="center" vertical="center" wrapText="1"/>
    </xf>
    <xf numFmtId="14" fontId="41" fillId="4" borderId="7" xfId="3" applyNumberFormat="1" applyFont="1" applyFill="1" applyBorder="1" applyAlignment="1">
      <alignment horizontal="center" vertical="center" wrapText="1"/>
    </xf>
    <xf numFmtId="9" fontId="44" fillId="0" borderId="0" xfId="0" applyNumberFormat="1" applyFont="1" applyAlignment="1">
      <alignment horizontal="center" vertical="center"/>
    </xf>
    <xf numFmtId="0" fontId="48" fillId="0" borderId="0" xfId="15" applyFont="1" applyAlignment="1">
      <alignment horizontal="center" vertical="center" wrapText="1"/>
    </xf>
    <xf numFmtId="9" fontId="41" fillId="0" borderId="7" xfId="3" applyNumberFormat="1" applyFont="1" applyBorder="1" applyAlignment="1">
      <alignment horizontal="center" vertical="center" wrapText="1"/>
    </xf>
    <xf numFmtId="9" fontId="48" fillId="0" borderId="7" xfId="15" applyNumberFormat="1" applyFont="1" applyBorder="1" applyAlignment="1">
      <alignment horizontal="center" vertical="center" wrapText="1"/>
    </xf>
    <xf numFmtId="0" fontId="41" fillId="4" borderId="8" xfId="3" applyFont="1" applyFill="1" applyBorder="1" applyAlignment="1">
      <alignment horizontal="center" vertical="center"/>
    </xf>
    <xf numFmtId="9" fontId="48" fillId="0" borderId="7" xfId="15" applyNumberFormat="1" applyFont="1" applyFill="1" applyBorder="1" applyAlignment="1">
      <alignment horizontal="center" vertical="center" wrapText="1"/>
    </xf>
    <xf numFmtId="0" fontId="18" fillId="0" borderId="0" xfId="0" applyFont="1" applyAlignment="1">
      <alignment vertical="top" wrapText="1"/>
    </xf>
    <xf numFmtId="0" fontId="44" fillId="0" borderId="0" xfId="0" applyFont="1" applyAlignment="1">
      <alignment vertical="center" wrapText="1"/>
    </xf>
    <xf numFmtId="0" fontId="27" fillId="13" borderId="28" xfId="0" applyFont="1" applyFill="1" applyBorder="1" applyAlignment="1">
      <alignment horizontal="center" vertical="center" wrapText="1"/>
    </xf>
    <xf numFmtId="9" fontId="41" fillId="4" borderId="7" xfId="0" applyNumberFormat="1"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vertical="center" wrapText="1"/>
    </xf>
    <xf numFmtId="0" fontId="41" fillId="4" borderId="10" xfId="3" applyFont="1" applyFill="1" applyBorder="1" applyAlignment="1">
      <alignment horizontal="center" vertical="center" wrapText="1"/>
    </xf>
    <xf numFmtId="0" fontId="44" fillId="4" borderId="0" xfId="0" applyFont="1" applyFill="1" applyAlignment="1">
      <alignment horizontal="center" vertical="center" wrapText="1"/>
    </xf>
    <xf numFmtId="9" fontId="27" fillId="13" borderId="30" xfId="0" applyNumberFormat="1" applyFont="1" applyFill="1" applyBorder="1" applyAlignment="1">
      <alignment horizontal="center" vertical="center" wrapText="1"/>
    </xf>
    <xf numFmtId="0" fontId="27" fillId="0" borderId="30" xfId="0" applyFont="1" applyBorder="1" applyAlignment="1">
      <alignment horizontal="center" vertical="center" wrapText="1"/>
    </xf>
    <xf numFmtId="0" fontId="50" fillId="0" borderId="0" xfId="0" applyFont="1"/>
    <xf numFmtId="0" fontId="18" fillId="0" borderId="7" xfId="0" applyFont="1" applyBorder="1" applyAlignment="1">
      <alignment horizontal="center" vertical="center" wrapText="1"/>
    </xf>
    <xf numFmtId="9" fontId="18" fillId="0" borderId="7" xfId="7" applyFont="1" applyBorder="1" applyAlignment="1">
      <alignment horizontal="center" vertical="center" wrapText="1"/>
    </xf>
    <xf numFmtId="14" fontId="18" fillId="0" borderId="7" xfId="0" applyNumberFormat="1" applyFont="1" applyBorder="1" applyAlignment="1">
      <alignment horizontal="center" vertical="center" wrapText="1"/>
    </xf>
    <xf numFmtId="9" fontId="18" fillId="0" borderId="7" xfId="7" applyFont="1" applyFill="1" applyBorder="1" applyAlignment="1">
      <alignment horizontal="center" vertical="center" wrapText="1"/>
    </xf>
    <xf numFmtId="0" fontId="18" fillId="4" borderId="8" xfId="0" applyFont="1" applyFill="1" applyBorder="1" applyAlignment="1">
      <alignment horizontal="center" vertical="center" wrapText="1"/>
    </xf>
    <xf numFmtId="0" fontId="41" fillId="4" borderId="7" xfId="14" applyNumberFormat="1" applyFont="1" applyFill="1" applyBorder="1" applyAlignment="1">
      <alignment horizontal="center" vertical="center" wrapText="1"/>
    </xf>
    <xf numFmtId="0" fontId="41" fillId="0" borderId="7" xfId="14" applyNumberFormat="1" applyFont="1" applyFill="1" applyBorder="1" applyAlignment="1">
      <alignment horizontal="center" vertical="center" wrapText="1"/>
    </xf>
    <xf numFmtId="9" fontId="18" fillId="0" borderId="8" xfId="7" applyFont="1" applyBorder="1" applyAlignment="1">
      <alignment horizontal="center" vertical="center" wrapText="1"/>
    </xf>
    <xf numFmtId="0" fontId="18" fillId="0" borderId="7" xfId="0" applyFont="1" applyFill="1" applyBorder="1" applyAlignment="1">
      <alignment horizontal="left" vertical="center" wrapText="1"/>
    </xf>
    <xf numFmtId="9" fontId="18" fillId="0" borderId="9" xfId="7" applyFont="1" applyBorder="1" applyAlignment="1">
      <alignment horizontal="center" vertical="center" wrapText="1"/>
    </xf>
    <xf numFmtId="9" fontId="18" fillId="0" borderId="7" xfId="14" applyFont="1" applyFill="1" applyBorder="1" applyAlignment="1">
      <alignment horizontal="center" vertical="center" wrapText="1"/>
    </xf>
    <xf numFmtId="0" fontId="18" fillId="0" borderId="0" xfId="0" applyFont="1" applyFill="1" applyAlignment="1">
      <alignment horizontal="center" vertical="center" wrapText="1"/>
    </xf>
    <xf numFmtId="43" fontId="41" fillId="4" borderId="7" xfId="16" applyFont="1" applyFill="1" applyBorder="1" applyAlignment="1">
      <alignment vertical="center" wrapText="1"/>
    </xf>
    <xf numFmtId="0" fontId="27" fillId="0" borderId="0" xfId="0" applyFont="1" applyAlignment="1">
      <alignment horizontal="center" vertical="center" wrapText="1"/>
    </xf>
    <xf numFmtId="9" fontId="41" fillId="4" borderId="10" xfId="14" applyFont="1" applyFill="1" applyBorder="1" applyAlignment="1">
      <alignment horizontal="center" vertical="center"/>
    </xf>
    <xf numFmtId="0" fontId="18" fillId="4" borderId="9" xfId="0" applyFont="1" applyFill="1" applyBorder="1" applyAlignment="1">
      <alignment horizontal="center" vertical="center" wrapText="1"/>
    </xf>
    <xf numFmtId="9" fontId="44" fillId="4" borderId="0" xfId="0" applyNumberFormat="1" applyFont="1" applyFill="1" applyAlignment="1">
      <alignment horizontal="center" vertical="center" wrapText="1"/>
    </xf>
    <xf numFmtId="0" fontId="18" fillId="0" borderId="7" xfId="0" applyFont="1" applyBorder="1" applyAlignment="1">
      <alignment horizontal="center" vertical="center"/>
    </xf>
    <xf numFmtId="9" fontId="18" fillId="0" borderId="7" xfId="7" applyFont="1" applyBorder="1" applyAlignment="1">
      <alignment horizontal="center" vertical="center"/>
    </xf>
    <xf numFmtId="0" fontId="18" fillId="0" borderId="0" xfId="0" applyFont="1" applyAlignment="1">
      <alignment horizontal="center" vertical="center" wrapText="1"/>
    </xf>
    <xf numFmtId="0" fontId="50" fillId="0" borderId="7" xfId="0" applyFont="1" applyBorder="1" applyAlignment="1">
      <alignment horizontal="center" vertical="center"/>
    </xf>
    <xf numFmtId="0" fontId="18" fillId="0" borderId="10" xfId="0" applyFont="1" applyBorder="1" applyAlignment="1">
      <alignment vertical="center" wrapText="1"/>
    </xf>
    <xf numFmtId="168" fontId="18" fillId="0" borderId="7" xfId="16" applyNumberFormat="1" applyFont="1" applyFill="1" applyBorder="1" applyAlignment="1">
      <alignment horizontal="center" vertical="center" wrapText="1"/>
    </xf>
    <xf numFmtId="0" fontId="18" fillId="0" borderId="7" xfId="0" applyFont="1" applyFill="1" applyBorder="1" applyAlignment="1">
      <alignment horizontal="justify" vertical="center" wrapText="1"/>
    </xf>
    <xf numFmtId="9" fontId="18" fillId="0" borderId="7" xfId="0" applyNumberFormat="1" applyFont="1" applyFill="1" applyBorder="1" applyAlignment="1">
      <alignment horizontal="center" vertical="center"/>
    </xf>
    <xf numFmtId="9" fontId="18" fillId="0" borderId="7" xfId="0" applyNumberFormat="1" applyFont="1" applyFill="1" applyBorder="1" applyAlignment="1">
      <alignment horizontal="center" vertical="center" wrapText="1"/>
    </xf>
    <xf numFmtId="14" fontId="18" fillId="0" borderId="7" xfId="0" applyNumberFormat="1" applyFont="1" applyFill="1" applyBorder="1" applyAlignment="1">
      <alignment horizontal="center" vertical="center" wrapText="1"/>
    </xf>
    <xf numFmtId="14" fontId="18" fillId="0" borderId="7" xfId="0" applyNumberFormat="1" applyFont="1" applyFill="1" applyBorder="1" applyAlignment="1">
      <alignment horizontal="center" vertical="center"/>
    </xf>
    <xf numFmtId="9" fontId="18" fillId="4" borderId="7" xfId="0" applyNumberFormat="1" applyFont="1" applyFill="1" applyBorder="1" applyAlignment="1">
      <alignment horizontal="center" vertical="center"/>
    </xf>
    <xf numFmtId="9" fontId="12" fillId="0" borderId="0" xfId="0" applyNumberFormat="1" applyFont="1" applyFill="1" applyAlignment="1">
      <alignment horizontal="center" vertical="center"/>
    </xf>
    <xf numFmtId="0" fontId="12" fillId="0" borderId="0" xfId="0" applyFont="1" applyFill="1" applyAlignment="1">
      <alignment horizontal="center" vertical="center" wrapText="1"/>
    </xf>
    <xf numFmtId="9" fontId="8" fillId="0" borderId="7" xfId="0" applyNumberFormat="1" applyFont="1" applyFill="1" applyBorder="1" applyAlignment="1">
      <alignment horizontal="center" vertical="center"/>
    </xf>
    <xf numFmtId="14" fontId="18" fillId="4" borderId="7" xfId="0" applyNumberFormat="1" applyFont="1" applyFill="1" applyBorder="1" applyAlignment="1">
      <alignment horizontal="center" vertical="center" wrapText="1"/>
    </xf>
    <xf numFmtId="9" fontId="0" fillId="0" borderId="0" xfId="0" applyNumberFormat="1" applyAlignment="1">
      <alignment vertical="center"/>
    </xf>
    <xf numFmtId="9" fontId="0" fillId="0" borderId="0" xfId="7" applyFont="1" applyAlignment="1">
      <alignment vertical="center"/>
    </xf>
    <xf numFmtId="0" fontId="52"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0" fillId="0" borderId="0" xfId="0" applyAlignment="1">
      <alignment horizontal="left"/>
    </xf>
    <xf numFmtId="14" fontId="12" fillId="0" borderId="1" xfId="0" applyNumberFormat="1" applyFont="1" applyBorder="1" applyAlignment="1">
      <alignment horizontal="center" vertical="center"/>
    </xf>
    <xf numFmtId="0" fontId="4" fillId="0" borderId="7" xfId="0" applyFont="1" applyFill="1" applyBorder="1" applyAlignment="1">
      <alignment horizontal="justify" vertical="top" wrapText="1"/>
    </xf>
    <xf numFmtId="0" fontId="4" fillId="0" borderId="7"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0" fillId="7" borderId="1" xfId="0" applyFill="1" applyBorder="1" applyAlignment="1">
      <alignment horizontal="left" vertical="center"/>
    </xf>
    <xf numFmtId="0" fontId="0" fillId="7" borderId="1" xfId="0" applyFill="1" applyBorder="1" applyAlignment="1">
      <alignment horizontal="center" vertical="center"/>
    </xf>
    <xf numFmtId="0" fontId="52" fillId="0" borderId="1" xfId="0" applyFont="1" applyBorder="1" applyAlignment="1">
      <alignment horizontal="center" vertical="center" wrapText="1"/>
    </xf>
    <xf numFmtId="0" fontId="12" fillId="0" borderId="2" xfId="0" applyFont="1" applyBorder="1" applyAlignment="1">
      <alignment horizontal="center" vertical="center"/>
    </xf>
    <xf numFmtId="0" fontId="53" fillId="0" borderId="40" xfId="0" applyFont="1" applyBorder="1" applyAlignment="1">
      <alignment vertical="center" wrapText="1"/>
    </xf>
    <xf numFmtId="0" fontId="12" fillId="0" borderId="2" xfId="0" applyFont="1" applyBorder="1" applyAlignment="1">
      <alignment horizontal="left" vertical="center" wrapText="1"/>
    </xf>
    <xf numFmtId="9" fontId="41" fillId="0" borderId="9" xfId="14" applyFont="1" applyFill="1" applyBorder="1" applyAlignment="1">
      <alignment horizontal="center" vertical="center" wrapText="1"/>
    </xf>
    <xf numFmtId="0" fontId="41" fillId="4" borderId="7" xfId="0" applyFont="1" applyFill="1" applyBorder="1" applyAlignment="1">
      <alignment horizontal="center" vertical="center" wrapText="1"/>
    </xf>
    <xf numFmtId="9" fontId="41" fillId="4" borderId="11" xfId="14" applyFont="1" applyFill="1" applyBorder="1" applyAlignment="1">
      <alignment horizontal="center" vertical="center" wrapText="1"/>
    </xf>
    <xf numFmtId="0" fontId="16" fillId="12" borderId="7" xfId="0" applyFont="1" applyFill="1" applyBorder="1" applyAlignment="1">
      <alignment horizontal="center" vertical="center" wrapText="1"/>
    </xf>
    <xf numFmtId="0" fontId="38" fillId="12" borderId="7" xfId="0" applyFont="1" applyFill="1" applyBorder="1" applyAlignment="1">
      <alignment horizontal="center" vertical="center" wrapText="1"/>
    </xf>
    <xf numFmtId="9" fontId="25" fillId="4" borderId="13" xfId="14" quotePrefix="1" applyFont="1" applyFill="1" applyBorder="1" applyAlignment="1">
      <alignment horizontal="center" vertical="center" wrapText="1"/>
    </xf>
    <xf numFmtId="9" fontId="25" fillId="0" borderId="13" xfId="14" applyFont="1" applyFill="1" applyBorder="1" applyAlignment="1">
      <alignment horizontal="center" vertical="center" wrapText="1"/>
    </xf>
    <xf numFmtId="0" fontId="12" fillId="0" borderId="1" xfId="0" applyFont="1" applyFill="1" applyBorder="1" applyAlignment="1">
      <alignment wrapText="1"/>
    </xf>
    <xf numFmtId="4" fontId="57" fillId="4" borderId="0" xfId="0" applyNumberFormat="1" applyFont="1" applyFill="1" applyAlignment="1">
      <alignment horizontal="center" vertical="center" wrapText="1"/>
    </xf>
    <xf numFmtId="169" fontId="41" fillId="4" borderId="7" xfId="19" applyNumberFormat="1" applyFont="1" applyFill="1" applyBorder="1" applyAlignment="1">
      <alignment horizontal="center" vertical="center" wrapText="1"/>
    </xf>
    <xf numFmtId="168" fontId="41" fillId="4" borderId="7" xfId="16" applyNumberFormat="1" applyFont="1" applyFill="1" applyBorder="1" applyAlignment="1">
      <alignment horizontal="center" vertical="center" wrapText="1"/>
    </xf>
    <xf numFmtId="10" fontId="41" fillId="4" borderId="7" xfId="0" applyNumberFormat="1" applyFont="1" applyFill="1" applyBorder="1" applyAlignment="1">
      <alignment horizontal="center" vertical="center" wrapText="1"/>
    </xf>
    <xf numFmtId="9" fontId="39" fillId="0" borderId="0" xfId="14" applyFont="1" applyAlignment="1">
      <alignment horizontal="center" vertical="center"/>
    </xf>
    <xf numFmtId="0" fontId="39" fillId="0" borderId="0" xfId="0" applyFont="1" applyAlignment="1">
      <alignment vertical="center"/>
    </xf>
    <xf numFmtId="0" fontId="59" fillId="0" borderId="0" xfId="0" applyFont="1" applyAlignment="1">
      <alignment vertical="center" wrapText="1"/>
    </xf>
    <xf numFmtId="0" fontId="58" fillId="0" borderId="0" xfId="0" applyFont="1" applyAlignment="1">
      <alignment horizontal="justify" vertical="center"/>
    </xf>
    <xf numFmtId="9" fontId="60" fillId="4" borderId="13" xfId="14" quotePrefix="1" applyFont="1" applyFill="1" applyBorder="1" applyAlignment="1">
      <alignment horizontal="center" vertical="center" wrapText="1"/>
    </xf>
    <xf numFmtId="9" fontId="61" fillId="4" borderId="13" xfId="14" quotePrefix="1" applyFont="1" applyFill="1" applyBorder="1" applyAlignment="1">
      <alignment horizontal="center" vertical="center" wrapText="1"/>
    </xf>
    <xf numFmtId="9" fontId="60" fillId="4" borderId="7" xfId="14" applyFont="1" applyFill="1" applyBorder="1" applyAlignment="1">
      <alignment horizontal="center" vertical="center" wrapText="1"/>
    </xf>
    <xf numFmtId="9" fontId="60" fillId="4" borderId="7" xfId="14" quotePrefix="1" applyFont="1" applyFill="1" applyBorder="1" applyAlignment="1">
      <alignment horizontal="justify" vertical="center" wrapText="1"/>
    </xf>
    <xf numFmtId="9" fontId="62" fillId="0" borderId="7" xfId="14" applyFont="1" applyFill="1" applyBorder="1" applyAlignment="1">
      <alignment horizontal="center" vertical="center" wrapText="1"/>
    </xf>
    <xf numFmtId="9" fontId="62" fillId="4" borderId="7" xfId="14" applyFont="1" applyFill="1" applyBorder="1" applyAlignment="1">
      <alignment horizontal="center" vertical="center" wrapText="1"/>
    </xf>
    <xf numFmtId="9" fontId="62" fillId="4" borderId="7" xfId="14" applyFont="1" applyFill="1" applyBorder="1" applyAlignment="1">
      <alignment horizontal="justify" vertical="center" wrapText="1"/>
    </xf>
    <xf numFmtId="9" fontId="25" fillId="4" borderId="7" xfId="14" quotePrefix="1" applyFont="1" applyFill="1" applyBorder="1" applyAlignment="1">
      <alignment horizontal="center" vertical="center" wrapText="1"/>
    </xf>
    <xf numFmtId="9" fontId="64" fillId="4" borderId="7" xfId="14" applyFont="1" applyFill="1" applyBorder="1" applyAlignment="1">
      <alignment horizontal="left" vertical="justify" wrapText="1"/>
    </xf>
    <xf numFmtId="9" fontId="64" fillId="4" borderId="7" xfId="14" applyFont="1" applyFill="1" applyBorder="1" applyAlignment="1">
      <alignment horizontal="left" vertical="center" wrapText="1"/>
    </xf>
    <xf numFmtId="9" fontId="28" fillId="4" borderId="7" xfId="15" applyNumberFormat="1" applyFill="1" applyBorder="1" applyAlignment="1">
      <alignment horizontal="center" vertical="center" wrapText="1"/>
    </xf>
    <xf numFmtId="0" fontId="18" fillId="0" borderId="7" xfId="0" applyFont="1" applyBorder="1" applyAlignment="1">
      <alignment horizontal="center" vertical="center" wrapText="1"/>
    </xf>
    <xf numFmtId="0" fontId="18" fillId="4" borderId="7" xfId="0" applyFont="1" applyFill="1" applyBorder="1" applyAlignment="1">
      <alignment horizontal="center" vertical="center" wrapText="1"/>
    </xf>
    <xf numFmtId="0" fontId="41" fillId="4" borderId="7" xfId="0" applyFont="1" applyFill="1" applyBorder="1" applyAlignment="1">
      <alignment horizontal="center" vertical="center" wrapText="1"/>
    </xf>
    <xf numFmtId="9" fontId="25" fillId="4" borderId="13" xfId="14" quotePrefix="1" applyFont="1" applyFill="1" applyBorder="1" applyAlignment="1">
      <alignment horizontal="center" vertical="center" wrapText="1"/>
    </xf>
    <xf numFmtId="9" fontId="3" fillId="4" borderId="7" xfId="14" applyFont="1" applyFill="1" applyBorder="1" applyAlignment="1">
      <alignment horizontal="center" vertical="center"/>
    </xf>
    <xf numFmtId="9" fontId="3" fillId="4" borderId="7" xfId="14" applyFont="1" applyFill="1" applyBorder="1" applyAlignment="1">
      <alignment horizontal="center" vertical="center" wrapText="1"/>
    </xf>
    <xf numFmtId="0" fontId="3" fillId="0" borderId="7" xfId="3" applyFont="1" applyBorder="1" applyAlignment="1">
      <alignment horizontal="center" vertical="center" wrapText="1"/>
    </xf>
    <xf numFmtId="9" fontId="3" fillId="0" borderId="10" xfId="0" applyNumberFormat="1" applyFont="1" applyBorder="1" applyAlignment="1">
      <alignment horizontal="center" vertical="center"/>
    </xf>
    <xf numFmtId="9" fontId="3" fillId="0" borderId="7" xfId="14" applyFont="1" applyBorder="1" applyAlignment="1">
      <alignment horizontal="center" vertical="center" wrapText="1"/>
    </xf>
    <xf numFmtId="9" fontId="3" fillId="4" borderId="8" xfId="14" applyFont="1" applyFill="1" applyBorder="1" applyAlignment="1">
      <alignment horizontal="center" vertical="center" wrapText="1"/>
    </xf>
    <xf numFmtId="9" fontId="3" fillId="0" borderId="8" xfId="3" applyNumberFormat="1" applyFont="1" applyBorder="1" applyAlignment="1">
      <alignment horizontal="center" vertical="center" wrapText="1"/>
    </xf>
    <xf numFmtId="9" fontId="3"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49" fontId="41" fillId="0" borderId="7" xfId="14" applyNumberFormat="1" applyFont="1" applyFill="1" applyBorder="1" applyAlignment="1">
      <alignment horizontal="center" vertical="center" wrapText="1"/>
    </xf>
    <xf numFmtId="10" fontId="41" fillId="4" borderId="7" xfId="14" applyNumberFormat="1" applyFont="1" applyFill="1" applyBorder="1" applyAlignment="1">
      <alignment horizontal="center" vertical="center" wrapText="1"/>
    </xf>
    <xf numFmtId="166" fontId="41" fillId="4" borderId="7" xfId="14" applyNumberFormat="1" applyFont="1" applyFill="1" applyBorder="1" applyAlignment="1">
      <alignment horizontal="center" vertical="center" wrapText="1"/>
    </xf>
    <xf numFmtId="49" fontId="41" fillId="4" borderId="7" xfId="14" applyNumberFormat="1" applyFont="1" applyFill="1" applyBorder="1" applyAlignment="1">
      <alignment horizontal="center" vertical="center" wrapText="1"/>
    </xf>
    <xf numFmtId="9" fontId="41" fillId="4" borderId="13" xfId="14" quotePrefix="1" applyFont="1" applyFill="1" applyBorder="1" applyAlignment="1">
      <alignment horizontal="center" vertical="center" wrapText="1"/>
    </xf>
    <xf numFmtId="9" fontId="28" fillId="0" borderId="7" xfId="15" applyNumberFormat="1" applyFill="1" applyBorder="1" applyAlignment="1">
      <alignment horizontal="center" vertical="center" wrapText="1"/>
    </xf>
    <xf numFmtId="9" fontId="41" fillId="4" borderId="7" xfId="14" applyNumberFormat="1" applyFont="1" applyFill="1" applyBorder="1" applyAlignment="1">
      <alignment horizontal="center" vertical="center" wrapText="1"/>
    </xf>
    <xf numFmtId="0" fontId="41" fillId="0" borderId="9" xfId="3" applyFont="1" applyFill="1" applyBorder="1" applyAlignment="1">
      <alignment horizontal="center" vertical="center" wrapText="1"/>
    </xf>
    <xf numFmtId="14" fontId="18" fillId="0" borderId="10" xfId="0" applyNumberFormat="1" applyFont="1" applyBorder="1" applyAlignment="1">
      <alignment horizontal="center" vertical="center" wrapText="1"/>
    </xf>
    <xf numFmtId="9" fontId="1" fillId="4" borderId="7" xfId="14" applyFont="1" applyFill="1" applyBorder="1" applyAlignment="1">
      <alignment horizontal="center" vertical="center" wrapText="1"/>
    </xf>
    <xf numFmtId="9" fontId="66" fillId="4" borderId="13" xfId="14" quotePrefix="1" applyFont="1" applyFill="1" applyBorder="1" applyAlignment="1">
      <alignment horizontal="center" vertical="center" wrapText="1"/>
    </xf>
    <xf numFmtId="9" fontId="66" fillId="4" borderId="7" xfId="14" quotePrefix="1" applyFont="1" applyFill="1" applyBorder="1" applyAlignment="1">
      <alignment horizontal="center" vertical="center" wrapText="1"/>
    </xf>
    <xf numFmtId="9" fontId="66" fillId="4" borderId="7" xfId="14" quotePrefix="1" applyFont="1" applyFill="1" applyBorder="1" applyAlignment="1">
      <alignment horizontal="justify" vertical="center" wrapText="1"/>
    </xf>
    <xf numFmtId="9" fontId="66" fillId="4" borderId="7" xfId="14" applyFont="1" applyFill="1" applyBorder="1" applyAlignment="1">
      <alignment horizontal="center" vertical="center" wrapText="1"/>
    </xf>
    <xf numFmtId="0" fontId="31" fillId="0" borderId="0" xfId="0" applyFont="1" applyAlignment="1">
      <alignment horizontal="center" vertical="center"/>
    </xf>
    <xf numFmtId="0" fontId="16" fillId="8" borderId="24" xfId="0" applyFont="1" applyFill="1" applyBorder="1" applyAlignment="1">
      <alignment horizontal="center" vertical="center"/>
    </xf>
    <xf numFmtId="0" fontId="16" fillId="8" borderId="27" xfId="0" applyFont="1" applyFill="1" applyBorder="1" applyAlignment="1">
      <alignment horizontal="center" vertical="center"/>
    </xf>
    <xf numFmtId="0" fontId="16" fillId="8" borderId="25" xfId="0" applyFont="1" applyFill="1" applyBorder="1" applyAlignment="1">
      <alignment horizontal="center" vertical="center"/>
    </xf>
    <xf numFmtId="0" fontId="16" fillId="8" borderId="21" xfId="0" applyFont="1" applyFill="1" applyBorder="1" applyAlignment="1">
      <alignment horizontal="center" vertical="center"/>
    </xf>
    <xf numFmtId="0" fontId="16" fillId="8" borderId="26" xfId="0" applyFont="1" applyFill="1" applyBorder="1" applyAlignment="1">
      <alignment horizontal="center" vertical="center"/>
    </xf>
    <xf numFmtId="0" fontId="16" fillId="8" borderId="20" xfId="0" applyFont="1" applyFill="1" applyBorder="1" applyAlignment="1">
      <alignment horizontal="center" vertical="center"/>
    </xf>
    <xf numFmtId="0" fontId="16" fillId="8" borderId="1" xfId="0" applyFont="1" applyFill="1" applyBorder="1" applyAlignment="1">
      <alignment horizontal="center" vertical="center"/>
    </xf>
    <xf numFmtId="0" fontId="30" fillId="0" borderId="0" xfId="0" applyFont="1" applyAlignment="1">
      <alignment horizontal="center" vertical="center"/>
    </xf>
    <xf numFmtId="0" fontId="32" fillId="9" borderId="3" xfId="0" applyFont="1" applyFill="1" applyBorder="1" applyAlignment="1">
      <alignment horizontal="left" vertical="center" wrapText="1"/>
    </xf>
    <xf numFmtId="0" fontId="32" fillId="9" borderId="5" xfId="0" applyFont="1" applyFill="1" applyBorder="1" applyAlignment="1">
      <alignment horizontal="left" vertical="center" wrapText="1"/>
    </xf>
    <xf numFmtId="0" fontId="34" fillId="11" borderId="3" xfId="0" applyFont="1" applyFill="1" applyBorder="1" applyAlignment="1">
      <alignment horizontal="left" vertical="center" wrapText="1"/>
    </xf>
    <xf numFmtId="0" fontId="34" fillId="11" borderId="5" xfId="0" applyFont="1" applyFill="1" applyBorder="1" applyAlignment="1">
      <alignment horizontal="left" vertical="center" wrapText="1"/>
    </xf>
    <xf numFmtId="0" fontId="26" fillId="9" borderId="1" xfId="0" applyFont="1" applyFill="1" applyBorder="1" applyAlignment="1">
      <alignment horizontal="center" vertical="center" wrapText="1"/>
    </xf>
    <xf numFmtId="0" fontId="26" fillId="9" borderId="21" xfId="0" applyFont="1" applyFill="1" applyBorder="1" applyAlignment="1">
      <alignment horizontal="center" vertical="center" wrapText="1"/>
    </xf>
    <xf numFmtId="0" fontId="16" fillId="10" borderId="13" xfId="0" applyFont="1" applyFill="1" applyBorder="1" applyAlignment="1">
      <alignment horizontal="center" vertical="center"/>
    </xf>
    <xf numFmtId="0" fontId="16" fillId="10" borderId="12" xfId="0" applyFont="1" applyFill="1" applyBorder="1" applyAlignment="1">
      <alignment horizontal="center" vertical="center"/>
    </xf>
    <xf numFmtId="0" fontId="16" fillId="10" borderId="11" xfId="0" applyFont="1" applyFill="1" applyBorder="1" applyAlignment="1">
      <alignment horizontal="center" vertical="center"/>
    </xf>
    <xf numFmtId="0" fontId="41" fillId="4" borderId="7" xfId="0" applyFont="1" applyFill="1" applyBorder="1" applyAlignment="1">
      <alignment horizontal="center" vertical="center" wrapText="1"/>
    </xf>
    <xf numFmtId="9" fontId="41" fillId="4" borderId="8" xfId="0" applyNumberFormat="1" applyFont="1" applyFill="1" applyBorder="1" applyAlignment="1">
      <alignment horizontal="center" vertical="center"/>
    </xf>
    <xf numFmtId="9" fontId="41" fillId="4" borderId="9" xfId="0" applyNumberFormat="1" applyFont="1" applyFill="1" applyBorder="1" applyAlignment="1">
      <alignment horizontal="center" vertical="center"/>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9" fontId="41" fillId="0" borderId="8" xfId="0" applyNumberFormat="1" applyFont="1" applyFill="1" applyBorder="1" applyAlignment="1">
      <alignment horizontal="center" vertical="center" wrapText="1"/>
    </xf>
    <xf numFmtId="9" fontId="41" fillId="0" borderId="9" xfId="0" applyNumberFormat="1" applyFont="1" applyFill="1" applyBorder="1" applyAlignment="1">
      <alignment horizontal="center" vertical="center" wrapText="1"/>
    </xf>
    <xf numFmtId="0" fontId="41" fillId="4" borderId="8" xfId="0" applyFont="1" applyFill="1" applyBorder="1" applyAlignment="1">
      <alignment horizontal="center" vertical="center" wrapText="1"/>
    </xf>
    <xf numFmtId="0" fontId="41" fillId="4" borderId="9"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45" fillId="4" borderId="8" xfId="0" applyFont="1" applyFill="1" applyBorder="1" applyAlignment="1">
      <alignment horizontal="center" vertical="center" wrapText="1"/>
    </xf>
    <xf numFmtId="0" fontId="45" fillId="4" borderId="10" xfId="0" applyFont="1" applyFill="1" applyBorder="1" applyAlignment="1">
      <alignment horizontal="center" vertical="center" wrapText="1"/>
    </xf>
    <xf numFmtId="0" fontId="45" fillId="4" borderId="9"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9" xfId="0" applyFont="1" applyFill="1" applyBorder="1" applyAlignment="1">
      <alignment horizontal="center" vertical="center" wrapText="1"/>
    </xf>
    <xf numFmtId="9" fontId="15" fillId="0" borderId="8" xfId="0" applyNumberFormat="1" applyFont="1" applyFill="1" applyBorder="1" applyAlignment="1">
      <alignment horizontal="center" vertical="center" wrapText="1"/>
    </xf>
    <xf numFmtId="9" fontId="15" fillId="0" borderId="10" xfId="0" applyNumberFormat="1" applyFont="1" applyFill="1" applyBorder="1" applyAlignment="1">
      <alignment horizontal="center" vertical="center" wrapText="1"/>
    </xf>
    <xf numFmtId="9" fontId="15" fillId="0" borderId="9" xfId="0" applyNumberFormat="1" applyFont="1" applyFill="1" applyBorder="1" applyAlignment="1">
      <alignment horizontal="center" vertical="center" wrapText="1"/>
    </xf>
    <xf numFmtId="0" fontId="17" fillId="10" borderId="16" xfId="0" applyFont="1" applyFill="1" applyBorder="1" applyAlignment="1">
      <alignment horizontal="center" vertical="center"/>
    </xf>
    <xf numFmtId="0" fontId="17" fillId="10" borderId="0" xfId="0" applyFont="1" applyFill="1" applyBorder="1" applyAlignment="1">
      <alignment horizontal="center" vertical="center"/>
    </xf>
    <xf numFmtId="0" fontId="16" fillId="12" borderId="13" xfId="0" applyFont="1" applyFill="1" applyBorder="1" applyAlignment="1">
      <alignment horizontal="center" vertical="center"/>
    </xf>
    <xf numFmtId="0" fontId="16" fillId="12" borderId="12" xfId="0" applyFont="1" applyFill="1" applyBorder="1" applyAlignment="1">
      <alignment horizontal="center" vertical="center"/>
    </xf>
    <xf numFmtId="0" fontId="16" fillId="12" borderId="11" xfId="0" applyFont="1" applyFill="1" applyBorder="1" applyAlignment="1">
      <alignment horizontal="center" vertical="center"/>
    </xf>
    <xf numFmtId="9" fontId="41" fillId="0" borderId="8" xfId="14" applyFont="1" applyFill="1" applyBorder="1" applyAlignment="1">
      <alignment horizontal="center" vertical="center" wrapText="1"/>
    </xf>
    <xf numFmtId="9" fontId="41" fillId="0" borderId="9" xfId="14" applyFont="1" applyFill="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17" fillId="8" borderId="7"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17" fillId="8" borderId="7" xfId="0" applyFont="1" applyFill="1" applyBorder="1" applyAlignment="1">
      <alignment horizontal="center" vertical="center"/>
    </xf>
    <xf numFmtId="0" fontId="16" fillId="8" borderId="7" xfId="0" applyFont="1" applyFill="1" applyBorder="1" applyAlignment="1">
      <alignment horizontal="center" vertical="center" wrapText="1"/>
    </xf>
    <xf numFmtId="0" fontId="41" fillId="4" borderId="10" xfId="0" applyFont="1" applyFill="1" applyBorder="1" applyAlignment="1">
      <alignment horizontal="center" vertical="center" wrapText="1"/>
    </xf>
    <xf numFmtId="0" fontId="41" fillId="4" borderId="7" xfId="0" applyFont="1" applyFill="1" applyBorder="1" applyAlignment="1" applyProtection="1">
      <alignment horizontal="center" vertical="center" wrapText="1"/>
      <protection locked="0"/>
    </xf>
    <xf numFmtId="0" fontId="41" fillId="0" borderId="7" xfId="0" applyFont="1" applyBorder="1" applyAlignment="1">
      <alignment horizontal="center" vertical="center" wrapText="1"/>
    </xf>
    <xf numFmtId="9" fontId="41" fillId="0" borderId="7" xfId="0" applyNumberFormat="1" applyFont="1" applyFill="1" applyBorder="1" applyAlignment="1">
      <alignment horizontal="center" vertical="center" wrapText="1"/>
    </xf>
    <xf numFmtId="0" fontId="41" fillId="4" borderId="8" xfId="3" applyFont="1" applyFill="1" applyBorder="1" applyAlignment="1">
      <alignment horizontal="center" vertical="center" wrapText="1"/>
    </xf>
    <xf numFmtId="0" fontId="41" fillId="4" borderId="10" xfId="3" applyFont="1" applyFill="1" applyBorder="1" applyAlignment="1">
      <alignment horizontal="center" vertical="center" wrapText="1"/>
    </xf>
    <xf numFmtId="0" fontId="41" fillId="4" borderId="9" xfId="3" applyFont="1" applyFill="1" applyBorder="1" applyAlignment="1">
      <alignment horizontal="center" vertical="center" wrapText="1"/>
    </xf>
    <xf numFmtId="9" fontId="41" fillId="4" borderId="13" xfId="14" applyFont="1" applyFill="1" applyBorder="1" applyAlignment="1">
      <alignment horizontal="center" vertical="center" wrapText="1"/>
    </xf>
    <xf numFmtId="9" fontId="41" fillId="4" borderId="12" xfId="14" applyFont="1" applyFill="1" applyBorder="1" applyAlignment="1">
      <alignment horizontal="center" vertical="center" wrapText="1"/>
    </xf>
    <xf numFmtId="9" fontId="41" fillId="4" borderId="11" xfId="14" applyFont="1" applyFill="1" applyBorder="1" applyAlignment="1">
      <alignment horizontal="center" vertical="center" wrapText="1"/>
    </xf>
    <xf numFmtId="9" fontId="41" fillId="0" borderId="13" xfId="14" applyFont="1" applyFill="1" applyBorder="1" applyAlignment="1">
      <alignment horizontal="center" vertical="center" wrapText="1"/>
    </xf>
    <xf numFmtId="9" fontId="41" fillId="0" borderId="12" xfId="14" applyFont="1" applyFill="1" applyBorder="1" applyAlignment="1">
      <alignment horizontal="center" vertical="center" wrapText="1"/>
    </xf>
    <xf numFmtId="9" fontId="41" fillId="0" borderId="11" xfId="14" applyFont="1" applyFill="1" applyBorder="1" applyAlignment="1">
      <alignment horizontal="center" vertical="center" wrapText="1"/>
    </xf>
    <xf numFmtId="9" fontId="27" fillId="13" borderId="37" xfId="0" applyNumberFormat="1" applyFont="1" applyFill="1" applyBorder="1" applyAlignment="1">
      <alignment horizontal="center" vertical="center" wrapText="1"/>
    </xf>
    <xf numFmtId="9" fontId="27" fillId="13" borderId="38" xfId="0" applyNumberFormat="1" applyFont="1" applyFill="1" applyBorder="1" applyAlignment="1">
      <alignment horizontal="center" vertical="center" wrapText="1"/>
    </xf>
    <xf numFmtId="9" fontId="27" fillId="13" borderId="36" xfId="0" applyNumberFormat="1" applyFont="1" applyFill="1" applyBorder="1" applyAlignment="1">
      <alignment horizontal="center" vertical="center" wrapText="1"/>
    </xf>
    <xf numFmtId="0" fontId="12" fillId="0" borderId="33"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4" xfId="0" applyFont="1" applyFill="1" applyBorder="1" applyAlignment="1">
      <alignment horizontal="center" vertical="center"/>
    </xf>
    <xf numFmtId="9" fontId="27" fillId="13" borderId="35" xfId="0" applyNumberFormat="1" applyFont="1" applyFill="1" applyBorder="1" applyAlignment="1">
      <alignment horizontal="center" vertical="center" wrapText="1"/>
    </xf>
    <xf numFmtId="168" fontId="27" fillId="13" borderId="28" xfId="16" applyNumberFormat="1" applyFont="1" applyFill="1" applyBorder="1" applyAlignment="1">
      <alignment horizontal="center" vertical="center" wrapText="1"/>
    </xf>
    <xf numFmtId="168" fontId="27" fillId="13" borderId="34" xfId="16" applyNumberFormat="1" applyFont="1" applyFill="1" applyBorder="1" applyAlignment="1">
      <alignment horizontal="center" vertical="center" wrapText="1"/>
    </xf>
    <xf numFmtId="0" fontId="41" fillId="0" borderId="10" xfId="0" applyFont="1" applyFill="1" applyBorder="1" applyAlignment="1">
      <alignment horizontal="center" vertical="center" wrapText="1"/>
    </xf>
    <xf numFmtId="14" fontId="41" fillId="0" borderId="8" xfId="0" applyNumberFormat="1" applyFont="1" applyFill="1" applyBorder="1" applyAlignment="1">
      <alignment horizontal="center" vertical="center" wrapText="1"/>
    </xf>
    <xf numFmtId="14" fontId="41" fillId="0" borderId="10" xfId="0" applyNumberFormat="1" applyFont="1" applyFill="1" applyBorder="1" applyAlignment="1">
      <alignment horizontal="center" vertical="center" wrapText="1"/>
    </xf>
    <xf numFmtId="14" fontId="41" fillId="0" borderId="9" xfId="0" applyNumberFormat="1" applyFont="1" applyFill="1" applyBorder="1" applyAlignment="1">
      <alignment horizontal="center" vertical="center" wrapText="1"/>
    </xf>
    <xf numFmtId="14" fontId="41" fillId="0" borderId="8" xfId="0" applyNumberFormat="1" applyFont="1" applyFill="1" applyBorder="1" applyAlignment="1">
      <alignment horizontal="center" vertical="center"/>
    </xf>
    <xf numFmtId="14" fontId="41" fillId="0" borderId="10" xfId="0" applyNumberFormat="1" applyFont="1" applyFill="1" applyBorder="1" applyAlignment="1">
      <alignment horizontal="center" vertical="center"/>
    </xf>
    <xf numFmtId="14" fontId="41" fillId="0" borderId="9" xfId="0" applyNumberFormat="1" applyFont="1" applyFill="1" applyBorder="1" applyAlignment="1">
      <alignment horizontal="center" vertical="center"/>
    </xf>
    <xf numFmtId="14" fontId="41" fillId="0" borderId="8" xfId="3" applyNumberFormat="1" applyFont="1" applyBorder="1" applyAlignment="1">
      <alignment horizontal="center" vertical="center"/>
    </xf>
    <xf numFmtId="14" fontId="41" fillId="0" borderId="10" xfId="3" applyNumberFormat="1" applyFont="1" applyBorder="1" applyAlignment="1">
      <alignment horizontal="center" vertical="center"/>
    </xf>
    <xf numFmtId="14" fontId="41" fillId="4" borderId="8" xfId="3" applyNumberFormat="1" applyFont="1" applyFill="1" applyBorder="1" applyAlignment="1">
      <alignment horizontal="center" vertical="center"/>
    </xf>
    <xf numFmtId="14" fontId="41" fillId="4" borderId="10" xfId="3" applyNumberFormat="1" applyFont="1" applyFill="1" applyBorder="1" applyAlignment="1">
      <alignment horizontal="center" vertical="center"/>
    </xf>
    <xf numFmtId="0" fontId="41" fillId="0" borderId="8" xfId="3" applyFont="1" applyFill="1" applyBorder="1" applyAlignment="1">
      <alignment horizontal="center" vertical="center" wrapText="1"/>
    </xf>
    <xf numFmtId="0" fontId="41" fillId="0" borderId="10" xfId="3" applyFont="1" applyFill="1" applyBorder="1" applyAlignment="1">
      <alignment horizontal="center" vertical="center" wrapText="1"/>
    </xf>
    <xf numFmtId="0" fontId="41" fillId="0" borderId="9" xfId="3" applyFont="1" applyFill="1" applyBorder="1" applyAlignment="1">
      <alignment horizontal="center" vertical="center" wrapText="1"/>
    </xf>
    <xf numFmtId="9" fontId="41" fillId="0" borderId="8" xfId="7" applyFont="1" applyFill="1" applyBorder="1" applyAlignment="1">
      <alignment horizontal="center" vertical="center" wrapText="1"/>
    </xf>
    <xf numFmtId="9" fontId="41" fillId="0" borderId="10" xfId="7" applyFont="1" applyFill="1" applyBorder="1" applyAlignment="1">
      <alignment horizontal="center" vertical="center" wrapText="1"/>
    </xf>
    <xf numFmtId="9" fontId="41" fillId="0" borderId="9" xfId="7" applyFont="1" applyFill="1" applyBorder="1" applyAlignment="1">
      <alignment horizontal="center" vertical="center" wrapText="1"/>
    </xf>
    <xf numFmtId="0" fontId="17" fillId="10" borderId="18" xfId="0" applyFont="1" applyFill="1" applyBorder="1" applyAlignment="1">
      <alignment horizontal="center" vertical="center"/>
    </xf>
    <xf numFmtId="0" fontId="17" fillId="10" borderId="23" xfId="0" applyFont="1" applyFill="1" applyBorder="1" applyAlignment="1">
      <alignment horizontal="center" vertical="center"/>
    </xf>
    <xf numFmtId="9" fontId="41" fillId="4" borderId="8" xfId="14" applyFont="1" applyFill="1" applyBorder="1" applyAlignment="1">
      <alignment horizontal="center" vertical="center" wrapText="1"/>
    </xf>
    <xf numFmtId="9" fontId="41" fillId="4" borderId="9" xfId="14" applyFont="1" applyFill="1" applyBorder="1" applyAlignment="1">
      <alignment horizontal="center" vertical="center" wrapText="1"/>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1" fillId="0" borderId="9" xfId="0" applyFont="1" applyBorder="1" applyAlignment="1">
      <alignment horizontal="center" vertical="center"/>
    </xf>
    <xf numFmtId="0" fontId="41" fillId="0" borderId="8" xfId="3" applyFont="1" applyBorder="1" applyAlignment="1">
      <alignment horizontal="center" vertical="center" wrapText="1"/>
    </xf>
    <xf numFmtId="0" fontId="41" fillId="0" borderId="9" xfId="3" applyFont="1" applyBorder="1" applyAlignment="1">
      <alignment horizontal="center" vertical="center" wrapText="1"/>
    </xf>
    <xf numFmtId="0" fontId="41" fillId="4" borderId="8" xfId="3" applyFont="1" applyFill="1" applyBorder="1" applyAlignment="1">
      <alignment horizontal="center" vertical="center"/>
    </xf>
    <xf numFmtId="0" fontId="41" fillId="4" borderId="9" xfId="3" applyFont="1" applyFill="1" applyBorder="1" applyAlignment="1">
      <alignment horizontal="center" vertical="center"/>
    </xf>
    <xf numFmtId="9" fontId="41" fillId="4" borderId="10" xfId="14" applyFont="1" applyFill="1" applyBorder="1" applyAlignment="1">
      <alignment horizontal="center" vertical="center" wrapText="1"/>
    </xf>
    <xf numFmtId="0" fontId="41" fillId="4" borderId="10" xfId="3" applyFont="1" applyFill="1" applyBorder="1" applyAlignment="1">
      <alignment horizontal="center" vertical="center"/>
    </xf>
    <xf numFmtId="9" fontId="41" fillId="0" borderId="8" xfId="0" applyNumberFormat="1" applyFont="1" applyFill="1" applyBorder="1" applyAlignment="1">
      <alignment horizontal="center" vertical="center"/>
    </xf>
    <xf numFmtId="9" fontId="41" fillId="0" borderId="10" xfId="0" applyNumberFormat="1" applyFont="1" applyFill="1" applyBorder="1" applyAlignment="1">
      <alignment horizontal="center" vertical="center"/>
    </xf>
    <xf numFmtId="9" fontId="41" fillId="0" borderId="9" xfId="0" applyNumberFormat="1" applyFont="1" applyFill="1" applyBorder="1" applyAlignment="1">
      <alignment horizontal="center" vertical="center"/>
    </xf>
    <xf numFmtId="10" fontId="41" fillId="4" borderId="8" xfId="3" applyNumberFormat="1" applyFont="1" applyFill="1" applyBorder="1" applyAlignment="1">
      <alignment horizontal="center" vertical="center"/>
    </xf>
    <xf numFmtId="10" fontId="41" fillId="4" borderId="10" xfId="3" applyNumberFormat="1" applyFont="1" applyFill="1" applyBorder="1" applyAlignment="1">
      <alignment horizontal="center" vertical="center"/>
    </xf>
    <xf numFmtId="10" fontId="41" fillId="4" borderId="9" xfId="3" applyNumberFormat="1" applyFont="1" applyFill="1" applyBorder="1" applyAlignment="1">
      <alignment horizontal="center" vertical="center"/>
    </xf>
    <xf numFmtId="9" fontId="41" fillId="4" borderId="8" xfId="3" applyNumberFormat="1" applyFont="1" applyFill="1" applyBorder="1" applyAlignment="1">
      <alignment horizontal="center" vertical="center"/>
    </xf>
    <xf numFmtId="9" fontId="41" fillId="4" borderId="10" xfId="3" applyNumberFormat="1" applyFont="1" applyFill="1" applyBorder="1" applyAlignment="1">
      <alignment horizontal="center" vertical="center"/>
    </xf>
    <xf numFmtId="166" fontId="41" fillId="0" borderId="8"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1" fillId="0" borderId="9" xfId="0" applyNumberFormat="1" applyFont="1" applyFill="1" applyBorder="1" applyAlignment="1">
      <alignment horizontal="center" vertical="center" wrapText="1"/>
    </xf>
    <xf numFmtId="9" fontId="41" fillId="0" borderId="8" xfId="3" applyNumberFormat="1" applyFont="1" applyBorder="1" applyAlignment="1">
      <alignment horizontal="center" vertical="center"/>
    </xf>
    <xf numFmtId="9" fontId="41" fillId="0" borderId="9" xfId="3" applyNumberFormat="1" applyFont="1" applyBorder="1" applyAlignment="1">
      <alignment horizontal="center" vertical="center"/>
    </xf>
    <xf numFmtId="9" fontId="27" fillId="13" borderId="16" xfId="0" applyNumberFormat="1" applyFont="1" applyFill="1" applyBorder="1" applyAlignment="1">
      <alignment horizontal="center" vertical="center" wrapText="1"/>
    </xf>
    <xf numFmtId="9" fontId="27" fillId="13" borderId="0" xfId="0" applyNumberFormat="1" applyFont="1" applyFill="1" applyBorder="1" applyAlignment="1">
      <alignment horizontal="center" vertical="center" wrapText="1"/>
    </xf>
    <xf numFmtId="9" fontId="27" fillId="13" borderId="39" xfId="0" applyNumberFormat="1" applyFont="1" applyFill="1" applyBorder="1" applyAlignment="1">
      <alignment horizontal="center" vertical="center" wrapText="1"/>
    </xf>
    <xf numFmtId="0" fontId="27" fillId="0" borderId="31"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38" fillId="12" borderId="13" xfId="0" applyFont="1" applyFill="1" applyBorder="1" applyAlignment="1">
      <alignment horizontal="center" vertical="center"/>
    </xf>
    <xf numFmtId="0" fontId="38" fillId="12" borderId="12" xfId="0" applyFont="1" applyFill="1" applyBorder="1" applyAlignment="1">
      <alignment horizontal="center" vertical="center"/>
    </xf>
    <xf numFmtId="0" fontId="38" fillId="12" borderId="11" xfId="0" applyFont="1" applyFill="1" applyBorder="1" applyAlignment="1">
      <alignment horizontal="center" vertical="center"/>
    </xf>
    <xf numFmtId="0" fontId="38" fillId="10" borderId="13" xfId="0" applyFont="1" applyFill="1" applyBorder="1" applyAlignment="1">
      <alignment horizontal="center" vertical="center"/>
    </xf>
    <xf numFmtId="0" fontId="38" fillId="10" borderId="12" xfId="0" applyFont="1" applyFill="1" applyBorder="1" applyAlignment="1">
      <alignment horizontal="center" vertical="center"/>
    </xf>
    <xf numFmtId="0" fontId="38" fillId="10" borderId="11" xfId="0" applyFont="1" applyFill="1" applyBorder="1" applyAlignment="1">
      <alignment horizontal="center" vertical="center"/>
    </xf>
    <xf numFmtId="0" fontId="36" fillId="10" borderId="18" xfId="0" applyFont="1" applyFill="1" applyBorder="1" applyAlignment="1">
      <alignment horizontal="center" vertical="center"/>
    </xf>
    <xf numFmtId="0" fontId="36" fillId="10" borderId="23" xfId="0" applyFont="1" applyFill="1" applyBorder="1" applyAlignment="1">
      <alignment horizontal="center" vertical="center"/>
    </xf>
    <xf numFmtId="0" fontId="36" fillId="12" borderId="23" xfId="0" applyFont="1" applyFill="1" applyBorder="1" applyAlignment="1">
      <alignment horizontal="center" vertical="center"/>
    </xf>
    <xf numFmtId="0" fontId="38" fillId="14" borderId="13" xfId="0" applyFont="1" applyFill="1" applyBorder="1" applyAlignment="1">
      <alignment horizontal="center" vertical="center"/>
    </xf>
    <xf numFmtId="0" fontId="38" fillId="14" borderId="12" xfId="0" applyFont="1" applyFill="1" applyBorder="1" applyAlignment="1">
      <alignment horizontal="center" vertical="center"/>
    </xf>
    <xf numFmtId="0" fontId="38" fillId="14" borderId="11" xfId="0" applyFont="1" applyFill="1" applyBorder="1" applyAlignment="1">
      <alignment horizontal="center" vertical="center"/>
    </xf>
    <xf numFmtId="0" fontId="18" fillId="4" borderId="8"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8" xfId="0" applyFont="1" applyFill="1" applyBorder="1" applyAlignment="1" applyProtection="1">
      <alignment horizontal="center" vertical="center" wrapText="1"/>
      <protection locked="0"/>
    </xf>
    <xf numFmtId="0" fontId="18" fillId="4" borderId="10" xfId="0" applyFont="1" applyFill="1" applyBorder="1" applyAlignment="1" applyProtection="1">
      <alignment horizontal="center" vertical="center" wrapText="1"/>
      <protection locked="0"/>
    </xf>
    <xf numFmtId="0" fontId="18" fillId="0" borderId="10" xfId="0" applyFont="1" applyBorder="1" applyAlignment="1">
      <alignment horizontal="center" vertical="center" wrapText="1"/>
    </xf>
    <xf numFmtId="14" fontId="18" fillId="0" borderId="8" xfId="0" applyNumberFormat="1"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4" borderId="9" xfId="0" applyFont="1" applyFill="1" applyBorder="1" applyAlignment="1">
      <alignment horizontal="center" vertical="center" wrapText="1"/>
    </xf>
    <xf numFmtId="9" fontId="18" fillId="0" borderId="8" xfId="7" applyFont="1" applyBorder="1" applyAlignment="1">
      <alignment horizontal="center" vertical="center"/>
    </xf>
    <xf numFmtId="9" fontId="18" fillId="0" borderId="10" xfId="7" applyFont="1" applyBorder="1" applyAlignment="1">
      <alignment horizontal="center" vertical="center"/>
    </xf>
    <xf numFmtId="0" fontId="18" fillId="0" borderId="8" xfId="0" applyFont="1" applyBorder="1" applyAlignment="1">
      <alignment horizontal="center" vertical="center"/>
    </xf>
    <xf numFmtId="9" fontId="18" fillId="0" borderId="9" xfId="7" applyFont="1" applyBorder="1" applyAlignment="1">
      <alignment horizontal="center" vertical="center"/>
    </xf>
    <xf numFmtId="0" fontId="18" fillId="0" borderId="7" xfId="0" applyFont="1" applyBorder="1" applyAlignment="1">
      <alignment horizontal="center" vertical="center" wrapText="1"/>
    </xf>
    <xf numFmtId="0" fontId="18" fillId="0" borderId="7" xfId="0" applyFont="1" applyBorder="1" applyAlignment="1">
      <alignment horizontal="center" vertical="center"/>
    </xf>
    <xf numFmtId="14" fontId="18" fillId="0" borderId="9" xfId="0" applyNumberFormat="1" applyFont="1" applyBorder="1" applyAlignment="1">
      <alignment horizontal="center" vertical="center" wrapText="1"/>
    </xf>
    <xf numFmtId="9" fontId="36" fillId="8" borderId="7" xfId="7" applyFont="1" applyFill="1" applyBorder="1" applyAlignment="1">
      <alignment horizontal="center" vertical="center" wrapText="1"/>
    </xf>
    <xf numFmtId="0" fontId="36" fillId="8" borderId="7" xfId="0" applyFont="1" applyFill="1" applyBorder="1" applyAlignment="1">
      <alignment horizontal="center" vertical="center" wrapText="1"/>
    </xf>
    <xf numFmtId="0" fontId="36" fillId="8" borderId="8" xfId="0" applyFont="1" applyFill="1" applyBorder="1" applyAlignment="1">
      <alignment horizontal="center" vertical="center" wrapText="1"/>
    </xf>
    <xf numFmtId="0" fontId="36" fillId="8" borderId="10" xfId="0" applyFont="1" applyFill="1" applyBorder="1" applyAlignment="1">
      <alignment horizontal="center" vertical="center" wrapText="1"/>
    </xf>
    <xf numFmtId="0" fontId="36" fillId="8" borderId="9" xfId="0" applyFont="1" applyFill="1" applyBorder="1" applyAlignment="1">
      <alignment horizontal="center" vertical="center" wrapText="1"/>
    </xf>
    <xf numFmtId="0" fontId="36" fillId="8" borderId="7" xfId="0" applyFont="1" applyFill="1" applyBorder="1" applyAlignment="1">
      <alignment horizontal="center" vertical="center"/>
    </xf>
    <xf numFmtId="0" fontId="18" fillId="4" borderId="7" xfId="0" applyFont="1" applyFill="1" applyBorder="1" applyAlignment="1" applyProtection="1">
      <alignment horizontal="center" vertical="center" wrapText="1"/>
      <protection locked="0"/>
    </xf>
    <xf numFmtId="9" fontId="18" fillId="0" borderId="8" xfId="7" applyFont="1" applyBorder="1" applyAlignment="1">
      <alignment horizontal="center" vertical="center" wrapText="1"/>
    </xf>
    <xf numFmtId="9" fontId="18" fillId="0" borderId="9" xfId="7" applyFont="1" applyBorder="1" applyAlignment="1">
      <alignment horizontal="center" vertical="center" wrapText="1"/>
    </xf>
    <xf numFmtId="9" fontId="18" fillId="0" borderId="8" xfId="7" applyFont="1" applyFill="1" applyBorder="1" applyAlignment="1">
      <alignment horizontal="center" vertical="center" wrapText="1"/>
    </xf>
    <xf numFmtId="9" fontId="18" fillId="0" borderId="10" xfId="7" applyFont="1" applyFill="1" applyBorder="1" applyAlignment="1">
      <alignment horizontal="center" vertical="center" wrapText="1"/>
    </xf>
    <xf numFmtId="9" fontId="18" fillId="0" borderId="9" xfId="7" applyFont="1" applyFill="1" applyBorder="1" applyAlignment="1">
      <alignment horizontal="center" vertical="center" wrapText="1"/>
    </xf>
    <xf numFmtId="0" fontId="36" fillId="0" borderId="7" xfId="0" applyFont="1" applyFill="1" applyBorder="1" applyAlignment="1">
      <alignment horizontal="center" vertical="center"/>
    </xf>
    <xf numFmtId="0" fontId="38" fillId="8" borderId="7" xfId="0" applyFont="1" applyFill="1" applyBorder="1" applyAlignment="1">
      <alignment horizontal="center" vertical="center" wrapText="1"/>
    </xf>
    <xf numFmtId="0" fontId="12" fillId="0" borderId="7" xfId="0" applyFont="1" applyBorder="1" applyAlignment="1">
      <alignment horizontal="center"/>
    </xf>
    <xf numFmtId="0" fontId="12" fillId="0" borderId="7" xfId="0" applyFont="1" applyBorder="1" applyAlignment="1">
      <alignment horizontal="center" vertical="center" wrapText="1"/>
    </xf>
    <xf numFmtId="0" fontId="12" fillId="0" borderId="7" xfId="0" applyFont="1" applyBorder="1" applyAlignment="1">
      <alignment horizontal="left" vertical="center"/>
    </xf>
    <xf numFmtId="0" fontId="0" fillId="0" borderId="7" xfId="0" applyBorder="1" applyAlignment="1">
      <alignment horizontal="left" vertical="center"/>
    </xf>
    <xf numFmtId="0" fontId="0" fillId="0" borderId="7" xfId="0" applyBorder="1" applyAlignment="1">
      <alignment horizontal="center" vertical="center" wrapText="1"/>
    </xf>
    <xf numFmtId="0" fontId="15" fillId="4" borderId="7" xfId="0" applyFont="1" applyFill="1" applyBorder="1" applyAlignment="1" applyProtection="1">
      <alignment horizontal="center" vertical="center" wrapText="1"/>
      <protection locked="0"/>
    </xf>
    <xf numFmtId="0" fontId="15" fillId="4" borderId="7" xfId="0" applyFont="1" applyFill="1" applyBorder="1" applyAlignment="1">
      <alignment horizontal="center" vertical="center" wrapText="1"/>
    </xf>
    <xf numFmtId="0" fontId="18" fillId="0" borderId="7" xfId="0" applyFont="1" applyBorder="1" applyAlignment="1">
      <alignment horizontal="left" vertical="top" wrapText="1"/>
    </xf>
    <xf numFmtId="9" fontId="15" fillId="0" borderId="7" xfId="0" applyNumberFormat="1" applyFont="1" applyFill="1" applyBorder="1" applyAlignment="1">
      <alignment horizontal="center" vertical="center"/>
    </xf>
    <xf numFmtId="0" fontId="18" fillId="0" borderId="7" xfId="0" applyFont="1" applyBorder="1" applyAlignment="1">
      <alignment horizontal="left" vertical="center" wrapText="1"/>
    </xf>
    <xf numFmtId="9" fontId="15" fillId="0" borderId="7" xfId="0" applyNumberFormat="1" applyFont="1" applyFill="1" applyBorder="1" applyAlignment="1">
      <alignment horizontal="center" vertical="center" wrapText="1"/>
    </xf>
    <xf numFmtId="9" fontId="41" fillId="4" borderId="14" xfId="14" applyFont="1" applyFill="1" applyBorder="1" applyAlignment="1">
      <alignment horizontal="center" vertical="center" wrapText="1"/>
    </xf>
    <xf numFmtId="9" fontId="41" fillId="4" borderId="22" xfId="14" applyFont="1" applyFill="1" applyBorder="1" applyAlignment="1">
      <alignment horizontal="center" vertical="center" wrapText="1"/>
    </xf>
    <xf numFmtId="9" fontId="41" fillId="4" borderId="15" xfId="14" applyFont="1" applyFill="1" applyBorder="1" applyAlignment="1">
      <alignment horizontal="center" vertical="center" wrapText="1"/>
    </xf>
    <xf numFmtId="9" fontId="41" fillId="4" borderId="18" xfId="14" applyFont="1" applyFill="1" applyBorder="1" applyAlignment="1">
      <alignment horizontal="center" vertical="center" wrapText="1"/>
    </xf>
    <xf numFmtId="9" fontId="41" fillId="4" borderId="23" xfId="14" applyFont="1" applyFill="1" applyBorder="1" applyAlignment="1">
      <alignment horizontal="center" vertical="center" wrapText="1"/>
    </xf>
    <xf numFmtId="9" fontId="41" fillId="4" borderId="19" xfId="14" applyFont="1" applyFill="1" applyBorder="1" applyAlignment="1">
      <alignment horizontal="center" vertical="center" wrapText="1"/>
    </xf>
    <xf numFmtId="0" fontId="17" fillId="8" borderId="13"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11" xfId="0" applyFont="1" applyFill="1" applyBorder="1" applyAlignment="1">
      <alignment horizontal="center" vertical="center"/>
    </xf>
    <xf numFmtId="0" fontId="18" fillId="0" borderId="8"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center" vertical="center" wrapText="1"/>
      <protection locked="0"/>
    </xf>
    <xf numFmtId="9" fontId="18" fillId="0" borderId="8" xfId="0" applyNumberFormat="1" applyFont="1" applyFill="1" applyBorder="1" applyAlignment="1">
      <alignment horizontal="center" vertical="center"/>
    </xf>
    <xf numFmtId="9" fontId="18" fillId="0" borderId="9" xfId="0" applyNumberFormat="1" applyFont="1" applyFill="1" applyBorder="1" applyAlignment="1">
      <alignment horizontal="center" vertical="center"/>
    </xf>
    <xf numFmtId="9" fontId="18" fillId="0" borderId="8" xfId="0" applyNumberFormat="1" applyFont="1" applyFill="1" applyBorder="1" applyAlignment="1">
      <alignment horizontal="center" vertical="center" wrapText="1"/>
    </xf>
    <xf numFmtId="9" fontId="18" fillId="0" borderId="9" xfId="0" applyNumberFormat="1" applyFont="1" applyFill="1" applyBorder="1" applyAlignment="1">
      <alignment horizontal="center" vertical="center" wrapText="1"/>
    </xf>
    <xf numFmtId="14" fontId="18" fillId="0" borderId="8" xfId="0" applyNumberFormat="1" applyFont="1" applyFill="1" applyBorder="1" applyAlignment="1">
      <alignment horizontal="center" vertical="center" wrapText="1"/>
    </xf>
    <xf numFmtId="14" fontId="18" fillId="0" borderId="9" xfId="0" applyNumberFormat="1" applyFont="1" applyFill="1" applyBorder="1" applyAlignment="1">
      <alignment horizontal="center" vertical="center" wrapText="1"/>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9" fontId="18" fillId="4" borderId="8" xfId="0" applyNumberFormat="1" applyFont="1" applyFill="1" applyBorder="1" applyAlignment="1">
      <alignment horizontal="center" vertical="center"/>
    </xf>
    <xf numFmtId="9" fontId="18" fillId="4" borderId="9" xfId="0" applyNumberFormat="1" applyFont="1" applyFill="1" applyBorder="1" applyAlignment="1">
      <alignment horizontal="center" vertical="center"/>
    </xf>
    <xf numFmtId="9" fontId="25" fillId="4" borderId="8" xfId="14" applyFont="1" applyFill="1" applyBorder="1" applyAlignment="1">
      <alignment horizontal="center" vertical="center" wrapText="1"/>
    </xf>
    <xf numFmtId="9" fontId="25" fillId="4" borderId="10" xfId="14" applyFont="1" applyFill="1" applyBorder="1" applyAlignment="1">
      <alignment horizontal="center" vertical="center" wrapText="1"/>
    </xf>
    <xf numFmtId="9" fontId="25" fillId="4" borderId="9" xfId="14" applyFont="1" applyFill="1" applyBorder="1" applyAlignment="1">
      <alignment horizontal="center" vertical="center" wrapText="1"/>
    </xf>
    <xf numFmtId="9" fontId="25" fillId="0" borderId="8" xfId="14" applyFont="1" applyFill="1" applyBorder="1" applyAlignment="1">
      <alignment horizontal="center" vertical="center" wrapText="1"/>
    </xf>
    <xf numFmtId="9" fontId="25" fillId="0" borderId="9" xfId="14" applyFont="1" applyFill="1" applyBorder="1" applyAlignment="1">
      <alignment horizontal="center" vertical="center" wrapText="1"/>
    </xf>
    <xf numFmtId="9" fontId="25" fillId="4" borderId="13" xfId="14" quotePrefix="1" applyFont="1" applyFill="1" applyBorder="1" applyAlignment="1">
      <alignment horizontal="center" vertical="center" wrapText="1"/>
    </xf>
    <xf numFmtId="9" fontId="25" fillId="4" borderId="12" xfId="14" quotePrefix="1" applyFont="1" applyFill="1" applyBorder="1" applyAlignment="1">
      <alignment horizontal="center" vertical="center" wrapText="1"/>
    </xf>
    <xf numFmtId="9" fontId="25" fillId="4" borderId="11" xfId="14" quotePrefix="1" applyFont="1" applyFill="1" applyBorder="1" applyAlignment="1">
      <alignment horizontal="center" vertical="center" wrapText="1"/>
    </xf>
    <xf numFmtId="9" fontId="41" fillId="4" borderId="8" xfId="14" quotePrefix="1" applyFont="1" applyFill="1" applyBorder="1" applyAlignment="1">
      <alignment horizontal="center" vertical="center" wrapText="1"/>
    </xf>
    <xf numFmtId="9" fontId="41" fillId="4" borderId="9" xfId="14" quotePrefix="1" applyFont="1" applyFill="1" applyBorder="1" applyAlignment="1">
      <alignment horizontal="center" vertical="center" wrapText="1"/>
    </xf>
    <xf numFmtId="9" fontId="1" fillId="4" borderId="8" xfId="14" applyFont="1" applyFill="1" applyBorder="1" applyAlignment="1">
      <alignment horizontal="center" vertical="center" wrapText="1"/>
    </xf>
    <xf numFmtId="9" fontId="1" fillId="4" borderId="10" xfId="14" applyFont="1" applyFill="1" applyBorder="1" applyAlignment="1">
      <alignment horizontal="center" vertical="center" wrapText="1"/>
    </xf>
    <xf numFmtId="9" fontId="1" fillId="4" borderId="9" xfId="14"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9" fontId="9" fillId="0" borderId="8" xfId="0" applyNumberFormat="1" applyFont="1" applyBorder="1" applyAlignment="1">
      <alignment horizontal="center" vertical="center"/>
    </xf>
    <xf numFmtId="9" fontId="9" fillId="0" borderId="10" xfId="0" applyNumberFormat="1" applyFont="1" applyBorder="1" applyAlignment="1">
      <alignment horizontal="center" vertical="center"/>
    </xf>
    <xf numFmtId="9" fontId="9" fillId="0" borderId="9" xfId="0" applyNumberFormat="1"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0" fontId="9" fillId="0" borderId="1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8" xfId="0" applyFont="1" applyBorder="1" applyAlignment="1">
      <alignment horizontal="center" vertical="center" wrapText="1"/>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wrapText="1"/>
    </xf>
    <xf numFmtId="14" fontId="9" fillId="0" borderId="8" xfId="0" applyNumberFormat="1" applyFont="1" applyFill="1" applyBorder="1" applyAlignment="1">
      <alignment horizontal="center" vertical="center" wrapText="1"/>
    </xf>
    <xf numFmtId="14" fontId="9" fillId="0" borderId="10" xfId="0" applyNumberFormat="1"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8" xfId="0" applyNumberFormat="1" applyFont="1" applyFill="1" applyBorder="1" applyAlignment="1">
      <alignment horizontal="center" vertical="center"/>
    </xf>
    <xf numFmtId="14" fontId="9" fillId="0" borderId="10" xfId="0" applyNumberFormat="1" applyFont="1" applyFill="1" applyBorder="1" applyAlignment="1">
      <alignment horizontal="center" vertical="center"/>
    </xf>
    <xf numFmtId="14" fontId="9" fillId="0" borderId="9" xfId="0" applyNumberFormat="1" applyFont="1" applyFill="1" applyBorder="1" applyAlignment="1">
      <alignment horizontal="center" vertical="center"/>
    </xf>
    <xf numFmtId="9" fontId="9" fillId="4" borderId="8" xfId="7" applyFont="1" applyFill="1" applyBorder="1" applyAlignment="1">
      <alignment horizontal="center" vertical="center"/>
    </xf>
    <xf numFmtId="9" fontId="9" fillId="4" borderId="10" xfId="7" applyFont="1" applyFill="1" applyBorder="1" applyAlignment="1">
      <alignment horizontal="center" vertical="center"/>
    </xf>
    <xf numFmtId="9" fontId="9" fillId="4" borderId="9" xfId="7" applyFont="1" applyFill="1" applyBorder="1" applyAlignment="1">
      <alignment horizontal="center" vertical="center"/>
    </xf>
    <xf numFmtId="0" fontId="9" fillId="0" borderId="10" xfId="0" applyFont="1" applyBorder="1" applyAlignment="1">
      <alignment horizontal="center" vertical="center"/>
    </xf>
    <xf numFmtId="0" fontId="9" fillId="4" borderId="7" xfId="0" applyFont="1" applyFill="1" applyBorder="1" applyAlignment="1">
      <alignment horizontal="center" vertical="center" wrapText="1"/>
    </xf>
    <xf numFmtId="0" fontId="9" fillId="4" borderId="7"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protection locked="0"/>
    </xf>
    <xf numFmtId="9" fontId="9" fillId="4" borderId="8" xfId="0" applyNumberFormat="1" applyFont="1" applyFill="1" applyBorder="1" applyAlignment="1">
      <alignment horizontal="center" vertical="center" wrapText="1"/>
    </xf>
    <xf numFmtId="9" fontId="9" fillId="4" borderId="10" xfId="0" applyNumberFormat="1" applyFont="1" applyFill="1" applyBorder="1" applyAlignment="1">
      <alignment horizontal="center" vertical="center" wrapText="1"/>
    </xf>
    <xf numFmtId="9" fontId="9" fillId="4" borderId="9" xfId="0" applyNumberFormat="1" applyFont="1" applyFill="1" applyBorder="1" applyAlignment="1">
      <alignment horizontal="center" vertical="center" wrapText="1"/>
    </xf>
    <xf numFmtId="9" fontId="9" fillId="0" borderId="8" xfId="0" applyNumberFormat="1" applyFont="1" applyFill="1" applyBorder="1" applyAlignment="1">
      <alignment horizontal="center" vertical="center"/>
    </xf>
    <xf numFmtId="9" fontId="9" fillId="0" borderId="10" xfId="0" applyNumberFormat="1" applyFont="1" applyFill="1" applyBorder="1" applyAlignment="1">
      <alignment horizontal="center" vertical="center"/>
    </xf>
    <xf numFmtId="9" fontId="9" fillId="0" borderId="9" xfId="0" applyNumberFormat="1" applyFont="1" applyFill="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9" fontId="9" fillId="0" borderId="8" xfId="0" applyNumberFormat="1" applyFont="1" applyFill="1" applyBorder="1" applyAlignment="1">
      <alignment horizontal="center" vertical="center" wrapText="1"/>
    </xf>
    <xf numFmtId="9" fontId="9" fillId="0" borderId="9" xfId="0" applyNumberFormat="1" applyFont="1" applyFill="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0" fontId="9" fillId="4" borderId="8" xfId="0" applyFont="1" applyFill="1" applyBorder="1" applyAlignment="1" applyProtection="1">
      <alignment horizontal="center" vertical="center" wrapText="1"/>
    </xf>
    <xf numFmtId="0" fontId="9" fillId="4" borderId="10"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14" fontId="9" fillId="0" borderId="8" xfId="0" applyNumberFormat="1" applyFont="1" applyBorder="1" applyAlignment="1">
      <alignment horizontal="center" vertical="center"/>
    </xf>
    <xf numFmtId="14" fontId="9" fillId="0" borderId="10" xfId="0" applyNumberFormat="1" applyFont="1" applyBorder="1" applyAlignment="1">
      <alignment horizontal="center" vertical="center"/>
    </xf>
    <xf numFmtId="14" fontId="9" fillId="0" borderId="9" xfId="0" applyNumberFormat="1" applyFont="1" applyBorder="1" applyAlignment="1">
      <alignment horizontal="center" vertical="center"/>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4" borderId="14" xfId="0" applyFont="1" applyFill="1" applyBorder="1" applyAlignment="1" applyProtection="1">
      <alignment horizontal="center" vertical="center" wrapText="1"/>
    </xf>
    <xf numFmtId="0" fontId="9" fillId="4" borderId="16" xfId="0" applyFont="1" applyFill="1" applyBorder="1" applyAlignment="1" applyProtection="1">
      <alignment horizontal="center" vertical="center" wrapText="1"/>
    </xf>
    <xf numFmtId="0" fontId="9" fillId="4" borderId="18" xfId="0" applyFont="1" applyFill="1" applyBorder="1" applyAlignment="1" applyProtection="1">
      <alignment horizontal="center" vertical="center" wrapText="1"/>
    </xf>
    <xf numFmtId="0" fontId="9" fillId="4" borderId="8"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9" fontId="9" fillId="4" borderId="8" xfId="0" applyNumberFormat="1" applyFont="1" applyFill="1" applyBorder="1" applyAlignment="1">
      <alignment horizontal="center" vertical="center"/>
    </xf>
    <xf numFmtId="9" fontId="9" fillId="4" borderId="10" xfId="0" applyNumberFormat="1" applyFont="1" applyFill="1" applyBorder="1" applyAlignment="1">
      <alignment horizontal="center" vertical="center"/>
    </xf>
    <xf numFmtId="9" fontId="9" fillId="4" borderId="9" xfId="0" applyNumberFormat="1" applyFont="1" applyFill="1" applyBorder="1" applyAlignment="1">
      <alignment horizontal="center" vertical="center"/>
    </xf>
    <xf numFmtId="9" fontId="9" fillId="0" borderId="10"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18" fillId="4" borderId="7" xfId="0" applyFont="1" applyFill="1" applyBorder="1" applyAlignment="1">
      <alignment horizontal="center" vertical="center" wrapText="1"/>
    </xf>
    <xf numFmtId="0" fontId="36" fillId="8" borderId="7" xfId="3" applyFont="1" applyFill="1" applyBorder="1" applyAlignment="1">
      <alignment horizontal="center" vertical="center"/>
    </xf>
    <xf numFmtId="0" fontId="36" fillId="8" borderId="13" xfId="3" applyFont="1" applyFill="1" applyBorder="1" applyAlignment="1">
      <alignment horizontal="center" vertical="center"/>
    </xf>
    <xf numFmtId="0" fontId="36" fillId="8" borderId="12" xfId="3" applyFont="1" applyFill="1" applyBorder="1" applyAlignment="1">
      <alignment horizontal="center" vertical="center"/>
    </xf>
    <xf numFmtId="0" fontId="36" fillId="8" borderId="11" xfId="3" applyFont="1" applyFill="1" applyBorder="1" applyAlignment="1">
      <alignment horizontal="center" vertical="center"/>
    </xf>
    <xf numFmtId="0" fontId="38" fillId="8" borderId="7" xfId="3" applyFont="1" applyFill="1" applyBorder="1" applyAlignment="1">
      <alignment horizontal="center" vertical="center" wrapText="1"/>
    </xf>
    <xf numFmtId="0" fontId="36" fillId="8" borderId="8" xfId="3" applyFont="1" applyFill="1" applyBorder="1" applyAlignment="1">
      <alignment horizontal="center" vertical="center" wrapText="1"/>
    </xf>
    <xf numFmtId="0" fontId="36" fillId="8" borderId="10" xfId="3" applyFont="1" applyFill="1" applyBorder="1" applyAlignment="1">
      <alignment horizontal="center" vertical="center" wrapText="1"/>
    </xf>
    <xf numFmtId="0" fontId="36" fillId="8" borderId="9"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10" xfId="3" applyFont="1" applyFill="1" applyBorder="1" applyAlignment="1">
      <alignment horizontal="center" vertical="center" wrapText="1"/>
    </xf>
    <xf numFmtId="0" fontId="9" fillId="4" borderId="9" xfId="3" applyFont="1" applyFill="1" applyBorder="1" applyAlignment="1">
      <alignment horizontal="center" vertical="center" wrapText="1"/>
    </xf>
    <xf numFmtId="0" fontId="36" fillId="8" borderId="7" xfId="3" applyFont="1" applyFill="1" applyBorder="1" applyAlignment="1">
      <alignment horizontal="center" vertical="center" wrapText="1"/>
    </xf>
    <xf numFmtId="0" fontId="37" fillId="4" borderId="8" xfId="3" applyFont="1" applyFill="1" applyBorder="1" applyAlignment="1">
      <alignment horizontal="center" vertical="center" wrapText="1"/>
    </xf>
    <xf numFmtId="0" fontId="37" fillId="4" borderId="10" xfId="3" applyFont="1" applyFill="1" applyBorder="1" applyAlignment="1">
      <alignment horizontal="center" vertical="center" wrapText="1"/>
    </xf>
    <xf numFmtId="0" fontId="37" fillId="4" borderId="9" xfId="3" applyFont="1" applyFill="1" applyBorder="1" applyAlignment="1">
      <alignment horizontal="center" vertical="center" wrapText="1"/>
    </xf>
    <xf numFmtId="0" fontId="37" fillId="4" borderId="8" xfId="3" applyFont="1" applyFill="1" applyBorder="1" applyAlignment="1" applyProtection="1">
      <alignment horizontal="center" vertical="center" wrapText="1"/>
      <protection locked="0"/>
    </xf>
    <xf numFmtId="0" fontId="37" fillId="4" borderId="10" xfId="3" applyFont="1" applyFill="1" applyBorder="1" applyAlignment="1" applyProtection="1">
      <alignment horizontal="center" vertical="center" wrapText="1"/>
      <protection locked="0"/>
    </xf>
    <xf numFmtId="0" fontId="37" fillId="4" borderId="9" xfId="3" applyFont="1" applyFill="1" applyBorder="1" applyAlignment="1" applyProtection="1">
      <alignment horizontal="center" vertical="center" wrapText="1"/>
      <protection locked="0"/>
    </xf>
    <xf numFmtId="9" fontId="37" fillId="0" borderId="8" xfId="3" applyNumberFormat="1" applyFont="1" applyFill="1" applyBorder="1" applyAlignment="1">
      <alignment horizontal="center" vertical="top" wrapText="1"/>
    </xf>
    <xf numFmtId="9" fontId="37" fillId="0" borderId="9" xfId="3" applyNumberFormat="1" applyFont="1" applyFill="1" applyBorder="1" applyAlignment="1">
      <alignment horizontal="center" vertical="top" wrapText="1"/>
    </xf>
    <xf numFmtId="9" fontId="37" fillId="0" borderId="8" xfId="3" applyNumberFormat="1" applyFont="1" applyFill="1" applyBorder="1" applyAlignment="1">
      <alignment horizontal="center" vertical="center"/>
    </xf>
    <xf numFmtId="9" fontId="37" fillId="0" borderId="9" xfId="3" applyNumberFormat="1" applyFont="1" applyFill="1" applyBorder="1" applyAlignment="1">
      <alignment horizontal="center" vertical="center"/>
    </xf>
    <xf numFmtId="0" fontId="37" fillId="0" borderId="8" xfId="3" applyFont="1" applyFill="1" applyBorder="1" applyAlignment="1">
      <alignment horizontal="center" vertical="center" wrapText="1"/>
    </xf>
    <xf numFmtId="0" fontId="37" fillId="0" borderId="9" xfId="3" applyFont="1" applyFill="1" applyBorder="1" applyAlignment="1">
      <alignment horizontal="center" vertical="center" wrapText="1"/>
    </xf>
    <xf numFmtId="9" fontId="37" fillId="0" borderId="8" xfId="3" applyNumberFormat="1" applyFont="1" applyFill="1" applyBorder="1" applyAlignment="1">
      <alignment horizontal="center" vertical="center" wrapText="1"/>
    </xf>
    <xf numFmtId="9" fontId="37" fillId="0" borderId="9" xfId="3" applyNumberFormat="1" applyFont="1" applyFill="1" applyBorder="1" applyAlignment="1">
      <alignment horizontal="center" vertical="center" wrapText="1"/>
    </xf>
    <xf numFmtId="0" fontId="51" fillId="15" borderId="1" xfId="0" applyFont="1" applyFill="1" applyBorder="1" applyAlignment="1">
      <alignment horizontal="center" vertical="center"/>
    </xf>
    <xf numFmtId="0" fontId="12" fillId="0" borderId="6" xfId="0" applyFont="1" applyBorder="1" applyAlignment="1">
      <alignment horizontal="center" vertical="center"/>
    </xf>
    <xf numFmtId="0" fontId="12" fillId="0" borderId="40" xfId="0" applyFont="1" applyBorder="1" applyAlignment="1">
      <alignment horizontal="center" vertical="center"/>
    </xf>
    <xf numFmtId="0" fontId="12" fillId="0" borderId="2" xfId="0" applyFont="1" applyBorder="1" applyAlignment="1">
      <alignment horizontal="center" vertical="center"/>
    </xf>
    <xf numFmtId="14" fontId="12" fillId="0" borderId="6" xfId="0" applyNumberFormat="1" applyFont="1" applyBorder="1" applyAlignment="1">
      <alignment horizontal="center" vertical="center"/>
    </xf>
    <xf numFmtId="14" fontId="12" fillId="0" borderId="40" xfId="0" applyNumberFormat="1" applyFont="1" applyBorder="1" applyAlignment="1">
      <alignment horizontal="center" vertical="center"/>
    </xf>
    <xf numFmtId="14" fontId="12" fillId="0" borderId="2" xfId="0" applyNumberFormat="1" applyFont="1" applyBorder="1" applyAlignment="1">
      <alignment horizontal="center" vertical="center"/>
    </xf>
    <xf numFmtId="0" fontId="53" fillId="0" borderId="3" xfId="0" applyFont="1" applyBorder="1" applyAlignment="1">
      <alignment horizontal="center" vertical="center" wrapText="1"/>
    </xf>
    <xf numFmtId="0" fontId="53" fillId="0" borderId="5" xfId="0" applyFont="1" applyBorder="1" applyAlignment="1">
      <alignment horizontal="center" vertical="center" wrapText="1"/>
    </xf>
    <xf numFmtId="0" fontId="52" fillId="0" borderId="3" xfId="0" applyFont="1" applyBorder="1" applyAlignment="1">
      <alignment horizontal="center" vertical="center"/>
    </xf>
    <xf numFmtId="0" fontId="52" fillId="0" borderId="5" xfId="0" applyFont="1" applyBorder="1" applyAlignment="1">
      <alignment horizontal="center" vertical="center"/>
    </xf>
    <xf numFmtId="0" fontId="53" fillId="0" borderId="6" xfId="0" applyFont="1" applyBorder="1" applyAlignment="1">
      <alignment horizontal="center" vertical="center" wrapText="1"/>
    </xf>
    <xf numFmtId="0" fontId="53" fillId="0" borderId="40" xfId="0" applyFont="1" applyBorder="1" applyAlignment="1">
      <alignment horizontal="center" vertical="center" wrapText="1"/>
    </xf>
    <xf numFmtId="0" fontId="53" fillId="0" borderId="2" xfId="0" applyFont="1" applyBorder="1" applyAlignment="1">
      <alignment horizontal="center" vertical="center" wrapText="1"/>
    </xf>
    <xf numFmtId="0" fontId="15" fillId="0" borderId="7" xfId="0" applyFont="1" applyFill="1" applyBorder="1" applyAlignment="1">
      <alignment horizontal="center" vertical="center" wrapText="1"/>
    </xf>
    <xf numFmtId="0" fontId="15" fillId="0" borderId="7" xfId="0" applyFont="1" applyFill="1" applyBorder="1" applyAlignment="1" applyProtection="1">
      <alignment horizontal="center" vertical="center" wrapText="1"/>
      <protection locked="0"/>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cellXfs>
  <cellStyles count="22">
    <cellStyle name="Hipervínculo" xfId="15" builtinId="8"/>
    <cellStyle name="Hipervínculo 2" xfId="20"/>
    <cellStyle name="Millares" xfId="16" builtinId="3"/>
    <cellStyle name="Millares [0] 2" xfId="21"/>
    <cellStyle name="Millares 2" xfId="1"/>
    <cellStyle name="Millares 2 2" xfId="8"/>
    <cellStyle name="Moneda" xfId="19" builtinId="4"/>
    <cellStyle name="Moneda [0] 2" xfId="13"/>
    <cellStyle name="Moneda [0] 2 2" xfId="18"/>
    <cellStyle name="Moneda 2" xfId="2"/>
    <cellStyle name="Moneda 2 2" xfId="9"/>
    <cellStyle name="Normal" xfId="0" builtinId="0"/>
    <cellStyle name="Normal 2" xfId="3"/>
    <cellStyle name="Normal 27" xfId="12"/>
    <cellStyle name="Normal 27 2" xfId="17"/>
    <cellStyle name="Normal 3" xfId="6"/>
    <cellStyle name="Normal 4" xfId="11"/>
    <cellStyle name="Porcentaje" xfId="7" builtinId="5"/>
    <cellStyle name="Porcentaje 2" xfId="14"/>
    <cellStyle name="Porcentual 2" xfId="4"/>
    <cellStyle name="Porcentual 2 2" xfId="10"/>
    <cellStyle name="Porcentual 3" xfId="5"/>
  </cellStyles>
  <dxfs count="42">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1" defaultTableStyle="TableStyleMedium9" defaultPivotStyle="PivotStyleLight16">
    <tableStyle name="PivotStyleLight16 2" table="0" count="11">
      <tableStyleElement type="headerRow" dxfId="41"/>
      <tableStyleElement type="totalRow" dxfId="40"/>
      <tableStyleElement type="firstRowStripe" dxfId="39"/>
      <tableStyleElement type="firstColumnStripe" dxfId="38"/>
      <tableStyleElement type="firstSubtotalColumn" dxfId="37"/>
      <tableStyleElement type="firstSubtotalRow" dxfId="36"/>
      <tableStyleElement type="secondSubtotalRow" dxfId="35"/>
      <tableStyleElement type="firstRowSubheading" dxfId="34"/>
      <tableStyleElement type="secondRowSubheading" dxfId="33"/>
      <tableStyleElement type="pageFieldLabels" dxfId="32"/>
      <tableStyleElement type="pageFieldValues" dxfId="31"/>
    </tableStyle>
  </tableStyles>
  <colors>
    <mruColors>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fesserv5\planeacion$\2018\Gesti&#243;n%20y%20Desempe&#241;o%20Institucional\Plan%20Sectorial\Formato_Plan%20de%20Accion%202018_EAV%20-%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fesserv5\planeacion$\Users\cbeltran\Desktop\PAI_2018\PLAN%20DE%20ACCI&#211;N%202018%20ICFES%20STH%20050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ías"/>
      <sheetName val="TALENTO HUMANO"/>
      <sheetName val="DIRECCIONAMIENTO ESTRATEGICO"/>
      <sheetName val="VALORES PARA RESULTADOS"/>
      <sheetName val="EVALUACIÓN DE RESULTADOS"/>
      <sheetName val="INFORMACIÓN Y COMUNICACIÓN"/>
      <sheetName val="GESTIÓN DEL CONOCIMIENTO"/>
      <sheetName val="CONTROL INTERN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ías"/>
      <sheetName val="VALORES PARA RESULTADOS"/>
      <sheetName val="TALENTO HUMANO"/>
      <sheetName val="DIRECCIONAMIENTO ESTRATEGICO"/>
      <sheetName val="INFORMACIÓN Y COMUNICACIÓN"/>
      <sheetName val="GESTIÓN DEL CONOCIMIENTO"/>
      <sheetName val="EVALUACIÓN DE RESULTADOS"/>
    </sheetNames>
    <sheetDataSet>
      <sheetData sheetId="0"/>
      <sheetData sheetId="1" refreshError="1"/>
      <sheetData sheetId="2"/>
      <sheetData sheetId="3" refreshError="1"/>
      <sheetData sheetId="4" refreshError="1"/>
      <sheetData sheetId="5"/>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Soportes%20modificaciones%20V4" TargetMode="External"/><Relationship Id="rId2" Type="http://schemas.openxmlformats.org/officeDocument/2006/relationships/hyperlink" Target="http://www.icfes.gov.co/transparencia/planeacion/politicas-lineamientos-y-manuales" TargetMode="External"/><Relationship Id="rId1" Type="http://schemas.openxmlformats.org/officeDocument/2006/relationships/hyperlink" Target="../../../../../../PAAC/Soportes%20publicaci&#243;n%20previa" TargetMode="External"/><Relationship Id="rId4"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icfes.gov.co/divulgaciones-establecimientos/cursos-virtuales/curso-avancemos-468." TargetMode="External"/><Relationship Id="rId13" Type="http://schemas.openxmlformats.org/officeDocument/2006/relationships/hyperlink" Target="http://www.icfes.gov.co/instituciones-educativas-y-secretarias/avancemos-4-6-y-8/preguntas-frecuentes-pre-inscripcion-2" TargetMode="External"/><Relationship Id="rId18" Type="http://schemas.openxmlformats.org/officeDocument/2006/relationships/hyperlink" Target="https://icfes.darumasoftware.com/app.php/indicator" TargetMode="External"/><Relationship Id="rId3" Type="http://schemas.openxmlformats.org/officeDocument/2006/relationships/hyperlink" Target="../../../../../NUEVOS%20NEGOCIOS/Actualizaci&#243;n%20documentos%20caracterizaci&#243;n%20y%20procedimiento" TargetMode="External"/><Relationship Id="rId21" Type="http://schemas.openxmlformats.org/officeDocument/2006/relationships/comments" Target="../comments2.xml"/><Relationship Id="rId7" Type="http://schemas.openxmlformats.org/officeDocument/2006/relationships/hyperlink" Target="http://www.icfes.gov.co/instituciones-educativas-y-secretarias/saber-tyt/guias-de-orientacion" TargetMode="External"/><Relationship Id="rId12" Type="http://schemas.openxmlformats.org/officeDocument/2006/relationships/hyperlink" Target="http://192.168.147.76/soporte/arquitecturaEmpresarial/Entregables%20AE/" TargetMode="External"/><Relationship Id="rId17" Type="http://schemas.openxmlformats.org/officeDocument/2006/relationships/hyperlink" Target="../../../../../../MIPG%20II/CAPACIDADES" TargetMode="External"/><Relationship Id="rId2" Type="http://schemas.openxmlformats.org/officeDocument/2006/relationships/hyperlink" Target="https://goo.gl/4wEjhh" TargetMode="External"/><Relationship Id="rId16" Type="http://schemas.openxmlformats.org/officeDocument/2006/relationships/hyperlink" Target="../../../../../../Proy%20Informaci&#243;n/Caracterizaci&#243;n%20partes%20interesadas/Solicitudes%20encuestas" TargetMode="External"/><Relationship Id="rId20" Type="http://schemas.openxmlformats.org/officeDocument/2006/relationships/vmlDrawing" Target="../drawings/vmlDrawing2.vml"/><Relationship Id="rId1" Type="http://schemas.openxmlformats.org/officeDocument/2006/relationships/hyperlink" Target="file:///\\ICFESSERV5\Proyestratgestconocimiento$" TargetMode="External"/><Relationship Id="rId6" Type="http://schemas.openxmlformats.org/officeDocument/2006/relationships/hyperlink" Target="file:///\\ICFESSERV5\Proyestratgestconocimiento$" TargetMode="External"/><Relationship Id="rId11" Type="http://schemas.openxmlformats.org/officeDocument/2006/relationships/hyperlink" Target="../../../../../../Proy%20Informaci&#243;n/Caracterizaci&#243;n%20Stakeholders" TargetMode="External"/><Relationship Id="rId5" Type="http://schemas.openxmlformats.org/officeDocument/2006/relationships/hyperlink" Target="https://goo.gl/4wEjhh" TargetMode="External"/><Relationship Id="rId15" Type="http://schemas.openxmlformats.org/officeDocument/2006/relationships/hyperlink" Target="../../../../Gestor%20de%20calidad" TargetMode="External"/><Relationship Id="rId10" Type="http://schemas.openxmlformats.org/officeDocument/2006/relationships/hyperlink" Target="https://icfes.darumasoftware.com/app.php/indicator" TargetMode="External"/><Relationship Id="rId19" Type="http://schemas.openxmlformats.org/officeDocument/2006/relationships/printerSettings" Target="../printerSettings/printerSettings3.bin"/><Relationship Id="rId4" Type="http://schemas.openxmlformats.org/officeDocument/2006/relationships/hyperlink" Target="http://www.icfes.gov.co/divulgaciones-establecimientos/cursos-virtuales/introduccion" TargetMode="External"/><Relationship Id="rId9" Type="http://schemas.openxmlformats.org/officeDocument/2006/relationships/hyperlink" Target="https://drive.google.com/open?id=14NEpez8_c_L5_QnFc5d1WA1ooSKJglIX%20correo%20electr&#243;nico" TargetMode="External"/><Relationship Id="rId14" Type="http://schemas.openxmlformats.org/officeDocument/2006/relationships/hyperlink" Target="../../../../Gestor%20de%20calidad"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ContractNoticeManagement/Index?SkinName=CCE%C2%A4tLanguage=es-CO&amp;Page=login&amp;Country=CO" TargetMode="External"/><Relationship Id="rId13" Type="http://schemas.openxmlformats.org/officeDocument/2006/relationships/comments" Target="../comments3.xml"/><Relationship Id="rId3" Type="http://schemas.openxmlformats.org/officeDocument/2006/relationships/hyperlink" Target="https://community.secop.gov.co/Public/Tendering/ContractNoticeManagement/Index?SkinName=CCE%C2%A4tLanguage=es-CO&amp;Page=login&amp;Country=CO" TargetMode="External"/><Relationship Id="rId7" Type="http://schemas.openxmlformats.org/officeDocument/2006/relationships/hyperlink" Target="https://icfes.darumasoftware.com/app.php/" TargetMode="External"/><Relationship Id="rId12" Type="http://schemas.openxmlformats.org/officeDocument/2006/relationships/vmlDrawing" Target="../drawings/vmlDrawing3.vml"/><Relationship Id="rId2" Type="http://schemas.openxmlformats.org/officeDocument/2006/relationships/hyperlink" Target="../../../../../GESTION%20Y%20DESEMPE&#209;O" TargetMode="External"/><Relationship Id="rId1" Type="http://schemas.openxmlformats.org/officeDocument/2006/relationships/hyperlink" Target="https://icfes.darumasoftware.com/app.php/" TargetMode="External"/><Relationship Id="rId6" Type="http://schemas.openxmlformats.org/officeDocument/2006/relationships/hyperlink" Target="../../../../../../CALIDAD/PLANEACION%20ANUAL" TargetMode="External"/><Relationship Id="rId11" Type="http://schemas.openxmlformats.org/officeDocument/2006/relationships/printerSettings" Target="../printerSettings/printerSettings4.bin"/><Relationship Id="rId5" Type="http://schemas.openxmlformats.org/officeDocument/2006/relationships/hyperlink" Target="../../../../../../PAAC/Racionalizaci&#243;n%20tr&#225;mites/ESTRATEGIA%20RACIONALIZACION%20DE%20TRAMITES/Doc%20Estrategia" TargetMode="External"/><Relationship Id="rId10" Type="http://schemas.openxmlformats.org/officeDocument/2006/relationships/hyperlink" Target="../../../../../../CALIDAD/PLANEACION%20ANUAL" TargetMode="External"/><Relationship Id="rId4" Type="http://schemas.openxmlformats.org/officeDocument/2006/relationships/hyperlink" Target="https://icfes.darumasoftware.com/app.php/" TargetMode="External"/><Relationship Id="rId9" Type="http://schemas.openxmlformats.org/officeDocument/2006/relationships/hyperlink" Target="../../../../../../PAAC"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PRESUPUESTO"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hyperlink" Target="https://icfes.smart360.biz/smartea/businessobject/init.do" TargetMode="External"/><Relationship Id="rId13" Type="http://schemas.openxmlformats.org/officeDocument/2006/relationships/hyperlink" Target="https://servidorpublico.sigep.gov.co/sse_generico/espanol/generico_login.jsp?estado=3" TargetMode="External"/><Relationship Id="rId18" Type="http://schemas.openxmlformats.org/officeDocument/2006/relationships/hyperlink" Target="http://192.168.147.73:8081/administrador/DocumentacionPrisma" TargetMode="External"/><Relationship Id="rId3" Type="http://schemas.openxmlformats.org/officeDocument/2006/relationships/hyperlink" Target="https://servidorpublico.sigep.gov.co/sse_generico/espanol/generico_login.jsp?estado=3" TargetMode="External"/><Relationship Id="rId21" Type="http://schemas.openxmlformats.org/officeDocument/2006/relationships/printerSettings" Target="../printerSettings/printerSettings6.bin"/><Relationship Id="rId7" Type="http://schemas.openxmlformats.org/officeDocument/2006/relationships/hyperlink" Target="http://192.168.147.76/soporte/arquitecturaEmpresarial/Entregables%20AE/2018/02-%20Gobierno%20de%20TI/Estructura%20Funcional%20de%20TI-TO%20BE.pptx" TargetMode="External"/><Relationship Id="rId12" Type="http://schemas.openxmlformats.org/officeDocument/2006/relationships/hyperlink" Target="http://192.168.147.76/soporte/arquitecturaEmpresarial/Entregables%20AE/2018/01-Estrategia%20de%20TI/Cumplimiento%20de%20AE.xlsx'http:/192.168.147.76/soporte/arquitecturaEmpresarial/Entregables%20AE/2018/01-Estrategia%20de%20TI/Indicadores%20de%20la%20Estrategia%20de%20TI.xlsx" TargetMode="External"/><Relationship Id="rId17" Type="http://schemas.openxmlformats.org/officeDocument/2006/relationships/hyperlink" Target="https://icfes.pvcloud.com/planview/PRM/ProjectResourceMgmt.aspx?ptab=PRJ_MAIN&amp;pt=PROJECT&amp;sc=9663&amp;scode=9663&amp;popup=1&amp;back=close" TargetMode="External"/><Relationship Id="rId2" Type="http://schemas.openxmlformats.org/officeDocument/2006/relationships/hyperlink" Target="file:///\\icfesserv5\comunicaciones$\A&#209;O%202018\CALIDAD\VARIOS\DISE&#209;OS" TargetMode="External"/><Relationship Id="rId16" Type="http://schemas.openxmlformats.org/officeDocument/2006/relationships/hyperlink" Target="https://icfes.smart360.biz/smartea/businessobject/init.do" TargetMode="External"/><Relationship Id="rId20" Type="http://schemas.openxmlformats.org/officeDocument/2006/relationships/hyperlink" Target="../../../../../../Proy%20Informaci&#243;n/Link%20de%20transparencia%202018" TargetMode="External"/><Relationship Id="rId1" Type="http://schemas.openxmlformats.org/officeDocument/2006/relationships/hyperlink" Target="http://www.icfes.gov.co/transparencia/planeacion/politicas-lineamientos-y-manuales" TargetMode="External"/><Relationship Id="rId6" Type="http://schemas.openxmlformats.org/officeDocument/2006/relationships/hyperlink" Target="../../../../../../Proy%20Informaci&#243;n/Link%20de%20transparencia%202018" TargetMode="External"/><Relationship Id="rId11" Type="http://schemas.openxmlformats.org/officeDocument/2006/relationships/hyperlink" Target="http://192.168.147.76/soporte/arquitecturaEmpresarial/Entregables%20AE/2018/06-%20Uso%20y%20Apropiaci&#243;n/20180704%20Estrategia_Uso_y_Apropiaci&#243;n_2018.pptx" TargetMode="External"/><Relationship Id="rId5" Type="http://schemas.openxmlformats.org/officeDocument/2006/relationships/hyperlink" Target="http://www.icfes.gov.co/transparencia/instrumentos-gestion-de-informacion-publica/plan-institucional-de-archivos" TargetMode="External"/><Relationship Id="rId15" Type="http://schemas.openxmlformats.org/officeDocument/2006/relationships/hyperlink" Target="http://www.icfes.gov.co/transparencia/instrumentos-gestion-de-informacion-publica/plan-institucional-de-archivos" TargetMode="External"/><Relationship Id="rId23" Type="http://schemas.openxmlformats.org/officeDocument/2006/relationships/comments" Target="../comments5.xml"/><Relationship Id="rId10" Type="http://schemas.openxmlformats.org/officeDocument/2006/relationships/hyperlink" Target="https://icfes.smart360.biz/smartea/informationsystem/init.do" TargetMode="External"/><Relationship Id="rId19" Type="http://schemas.openxmlformats.org/officeDocument/2006/relationships/hyperlink" Target="../../../../../../Proy%20Informaci&#243;n/Link%20de%20transparencia%202018" TargetMode="External"/><Relationship Id="rId4" Type="http://schemas.openxmlformats.org/officeDocument/2006/relationships/hyperlink" Target="https://servidorpublico.sigep.gov.co/sse_generico/espanol/generico_login.jsp?estado=3" TargetMode="External"/><Relationship Id="rId9" Type="http://schemas.openxmlformats.org/officeDocument/2006/relationships/hyperlink" Target="https://docs.google.com/spreadsheets/d/1EFtFMYybcq1Ps9ljSLBvU3Kg--Te4FxoYOXLpv0x9Q8/edit?usp=sharing" TargetMode="External"/><Relationship Id="rId14" Type="http://schemas.openxmlformats.org/officeDocument/2006/relationships/hyperlink" Target="https://servidorpublico.sigep.gov.co/sse_generico/espanol/generico_login.jsp?estado=3" TargetMode="External"/><Relationship Id="rId22"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hyperlink" Target="../../../../../../MIPG%20II/DIMENSIONES/6.%20Gesti&#243;n%20del%20Conocimiento%20y%20la%20innovaci&#243;n/info%20MEN" TargetMode="External"/><Relationship Id="rId1" Type="http://schemas.openxmlformats.org/officeDocument/2006/relationships/hyperlink" Target="../../../../../../MIPG%20II/DIMENSIONES/6.%20Gesti&#243;n%20del%20Conocimiento%20y%20la%20innovaci&#243;n/info%20MEN" TargetMode="Externa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file:///\\Icfesserv5\planeacion$\2018\GESTION%20Y%20DESEMPE&#209;O\CALIDAD\GESTI&#211;N%20DE%20RIESGOS" TargetMode="External"/><Relationship Id="rId1" Type="http://schemas.openxmlformats.org/officeDocument/2006/relationships/hyperlink" Target="file:///\\Icfesserv5\planeacion$\2018\GESTION%20Y%20DESEMPE&#209;O\CALIDAD\GESTI&#211;N%20DE%20RIESGOS"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5"/>
  <sheetViews>
    <sheetView zoomScale="90" zoomScaleNormal="90" workbookViewId="0">
      <selection activeCell="K15" sqref="K15"/>
    </sheetView>
  </sheetViews>
  <sheetFormatPr baseColWidth="10" defaultColWidth="10.85546875" defaultRowHeight="12.75"/>
  <cols>
    <col min="1" max="1" width="28.7109375" style="57" customWidth="1"/>
    <col min="2" max="2" width="37.85546875" style="57" customWidth="1"/>
    <col min="3" max="4" width="11" style="57" customWidth="1"/>
    <col min="5" max="5" width="15" style="57" bestFit="1" customWidth="1"/>
    <col min="6" max="7" width="11" style="57" customWidth="1"/>
    <col min="8" max="8" width="15" style="57" bestFit="1" customWidth="1"/>
    <col min="9" max="10" width="11" style="57" customWidth="1"/>
    <col min="11" max="11" width="15" style="57" bestFit="1" customWidth="1"/>
    <col min="12" max="13" width="11" style="57" customWidth="1"/>
    <col min="14" max="14" width="15" style="57" bestFit="1" customWidth="1"/>
    <col min="15" max="15" width="61.5703125" style="57" bestFit="1" customWidth="1"/>
    <col min="16" max="16384" width="10.85546875" style="57"/>
  </cols>
  <sheetData>
    <row r="2" spans="1:14" ht="18">
      <c r="A2" s="343" t="s">
        <v>733</v>
      </c>
      <c r="B2" s="343"/>
      <c r="C2" s="343"/>
      <c r="D2" s="343"/>
      <c r="E2" s="343"/>
      <c r="F2" s="343"/>
      <c r="G2" s="343"/>
      <c r="H2" s="343"/>
      <c r="I2" s="343"/>
      <c r="J2" s="343"/>
      <c r="K2" s="343"/>
      <c r="L2" s="343"/>
      <c r="M2" s="343"/>
      <c r="N2" s="51"/>
    </row>
    <row r="3" spans="1:14" ht="23.25" customHeight="1">
      <c r="A3" s="343"/>
      <c r="B3" s="343"/>
      <c r="C3" s="343"/>
      <c r="D3" s="343"/>
      <c r="E3" s="343"/>
      <c r="F3" s="343"/>
      <c r="G3" s="343"/>
      <c r="H3" s="343"/>
      <c r="I3" s="343"/>
      <c r="J3" s="343"/>
      <c r="K3" s="343"/>
      <c r="L3" s="343"/>
      <c r="M3" s="343"/>
      <c r="N3" s="51"/>
    </row>
    <row r="4" spans="1:14" ht="12.75" customHeight="1">
      <c r="A4" s="344" t="s">
        <v>369</v>
      </c>
      <c r="B4" s="345"/>
      <c r="C4" s="350" t="s">
        <v>381</v>
      </c>
      <c r="D4" s="350"/>
      <c r="E4" s="350"/>
      <c r="F4" s="350"/>
      <c r="G4" s="350"/>
      <c r="H4" s="350"/>
      <c r="I4" s="350"/>
      <c r="J4" s="350"/>
      <c r="K4" s="350"/>
      <c r="L4" s="350"/>
      <c r="M4" s="350"/>
      <c r="N4" s="350"/>
    </row>
    <row r="5" spans="1:14" ht="12.75" customHeight="1">
      <c r="A5" s="346"/>
      <c r="B5" s="347"/>
      <c r="C5" s="350" t="s">
        <v>382</v>
      </c>
      <c r="D5" s="350"/>
      <c r="E5" s="350"/>
      <c r="F5" s="350" t="s">
        <v>383</v>
      </c>
      <c r="G5" s="350"/>
      <c r="H5" s="350"/>
      <c r="I5" s="350" t="s">
        <v>384</v>
      </c>
      <c r="J5" s="350"/>
      <c r="K5" s="350"/>
      <c r="L5" s="350" t="s">
        <v>385</v>
      </c>
      <c r="M5" s="350"/>
      <c r="N5" s="350"/>
    </row>
    <row r="6" spans="1:14" ht="66.75" customHeight="1">
      <c r="A6" s="348"/>
      <c r="B6" s="349"/>
      <c r="C6" s="56" t="s">
        <v>736</v>
      </c>
      <c r="D6" s="56" t="s">
        <v>735</v>
      </c>
      <c r="E6" s="56" t="s">
        <v>738</v>
      </c>
      <c r="F6" s="56" t="s">
        <v>736</v>
      </c>
      <c r="G6" s="56" t="s">
        <v>735</v>
      </c>
      <c r="H6" s="56" t="s">
        <v>738</v>
      </c>
      <c r="I6" s="56" t="s">
        <v>736</v>
      </c>
      <c r="J6" s="56" t="s">
        <v>735</v>
      </c>
      <c r="K6" s="56" t="s">
        <v>738</v>
      </c>
      <c r="L6" s="56" t="s">
        <v>736</v>
      </c>
      <c r="M6" s="56" t="s">
        <v>735</v>
      </c>
      <c r="N6" s="56" t="s">
        <v>738</v>
      </c>
    </row>
    <row r="7" spans="1:14" ht="19.5" customHeight="1">
      <c r="A7" s="352" t="s">
        <v>60</v>
      </c>
      <c r="B7" s="353"/>
      <c r="C7" s="60">
        <v>11</v>
      </c>
      <c r="D7" s="60">
        <v>11</v>
      </c>
      <c r="E7" s="61">
        <f>IF(C7/D7&gt;100%,100%,C7/D7)</f>
        <v>1</v>
      </c>
      <c r="F7" s="60">
        <v>14</v>
      </c>
      <c r="G7" s="60">
        <v>14</v>
      </c>
      <c r="H7" s="61">
        <f>IF(F7/G7&gt;100%,100%,F7/G7)</f>
        <v>1</v>
      </c>
      <c r="I7" s="60">
        <v>13</v>
      </c>
      <c r="J7" s="60">
        <v>13</v>
      </c>
      <c r="K7" s="61">
        <f>IF(I7/J7&gt;100%,100%,I7/J7)</f>
        <v>1</v>
      </c>
      <c r="L7" s="60"/>
      <c r="M7" s="60"/>
      <c r="N7" s="61" t="e">
        <f>IF(L7/M7&gt;100%,100%,L7/M7)</f>
        <v>#DIV/0!</v>
      </c>
    </row>
    <row r="8" spans="1:14" ht="19.5" customHeight="1">
      <c r="A8" s="352" t="s">
        <v>731</v>
      </c>
      <c r="B8" s="353"/>
      <c r="C8" s="60">
        <v>21</v>
      </c>
      <c r="D8" s="60">
        <v>22</v>
      </c>
      <c r="E8" s="61">
        <f t="shared" ref="E8:E14" si="0">IF(C8/D8&gt;100%,100%,C8/D8)</f>
        <v>0.95454545454545459</v>
      </c>
      <c r="F8" s="60">
        <v>35</v>
      </c>
      <c r="G8" s="60">
        <v>39</v>
      </c>
      <c r="H8" s="61">
        <f t="shared" ref="H8:H14" si="1">IF(F8/G8&gt;100%,100%,F8/G8)</f>
        <v>0.89743589743589747</v>
      </c>
      <c r="I8" s="60">
        <v>35</v>
      </c>
      <c r="J8" s="60">
        <v>41</v>
      </c>
      <c r="K8" s="61">
        <f t="shared" ref="K8:K14" si="2">IF(I8/J8&gt;100%,100%,I8/J8)</f>
        <v>0.85365853658536583</v>
      </c>
      <c r="L8" s="60"/>
      <c r="M8" s="60"/>
      <c r="N8" s="61" t="e">
        <f t="shared" ref="N8:N14" si="3">IF(L8/M8&gt;100%,100%,L8/M8)</f>
        <v>#DIV/0!</v>
      </c>
    </row>
    <row r="9" spans="1:14" ht="19.5" customHeight="1">
      <c r="A9" s="352" t="s">
        <v>58</v>
      </c>
      <c r="B9" s="353"/>
      <c r="C9" s="60">
        <v>19</v>
      </c>
      <c r="D9" s="60">
        <v>25</v>
      </c>
      <c r="E9" s="61">
        <f t="shared" si="0"/>
        <v>0.76</v>
      </c>
      <c r="F9" s="60">
        <v>20</v>
      </c>
      <c r="G9" s="60">
        <v>29</v>
      </c>
      <c r="H9" s="61">
        <f t="shared" si="1"/>
        <v>0.68965517241379315</v>
      </c>
      <c r="I9" s="60">
        <v>17</v>
      </c>
      <c r="J9" s="60">
        <v>26</v>
      </c>
      <c r="K9" s="61">
        <f t="shared" si="2"/>
        <v>0.65384615384615385</v>
      </c>
      <c r="L9" s="60"/>
      <c r="M9" s="60"/>
      <c r="N9" s="61" t="e">
        <f t="shared" si="3"/>
        <v>#DIV/0!</v>
      </c>
    </row>
    <row r="10" spans="1:14" ht="19.5" customHeight="1">
      <c r="A10" s="352" t="s">
        <v>59</v>
      </c>
      <c r="B10" s="353"/>
      <c r="C10" s="60">
        <v>4</v>
      </c>
      <c r="D10" s="60">
        <v>4</v>
      </c>
      <c r="E10" s="61">
        <f t="shared" si="0"/>
        <v>1</v>
      </c>
      <c r="F10" s="60">
        <v>5</v>
      </c>
      <c r="G10" s="60">
        <v>5</v>
      </c>
      <c r="H10" s="61">
        <f t="shared" si="1"/>
        <v>1</v>
      </c>
      <c r="I10" s="60">
        <v>6</v>
      </c>
      <c r="J10" s="60">
        <v>6</v>
      </c>
      <c r="K10" s="61">
        <f t="shared" si="2"/>
        <v>1</v>
      </c>
      <c r="L10" s="60"/>
      <c r="M10" s="60"/>
      <c r="N10" s="61" t="e">
        <f t="shared" si="3"/>
        <v>#DIV/0!</v>
      </c>
    </row>
    <row r="11" spans="1:14" ht="19.5" customHeight="1">
      <c r="A11" s="352" t="s">
        <v>61</v>
      </c>
      <c r="B11" s="353"/>
      <c r="C11" s="60">
        <v>9</v>
      </c>
      <c r="D11" s="60">
        <v>9</v>
      </c>
      <c r="E11" s="61">
        <f t="shared" si="0"/>
        <v>1</v>
      </c>
      <c r="F11" s="60">
        <v>15</v>
      </c>
      <c r="G11" s="60">
        <v>18</v>
      </c>
      <c r="H11" s="61">
        <f t="shared" si="1"/>
        <v>0.83333333333333337</v>
      </c>
      <c r="I11" s="60">
        <v>15</v>
      </c>
      <c r="J11" s="60">
        <v>19</v>
      </c>
      <c r="K11" s="61">
        <f t="shared" si="2"/>
        <v>0.78947368421052633</v>
      </c>
      <c r="L11" s="60"/>
      <c r="M11" s="60"/>
      <c r="N11" s="61" t="e">
        <f t="shared" si="3"/>
        <v>#DIV/0!</v>
      </c>
    </row>
    <row r="12" spans="1:14" ht="19.5" customHeight="1">
      <c r="A12" s="352" t="s">
        <v>732</v>
      </c>
      <c r="B12" s="353"/>
      <c r="C12" s="60">
        <v>1</v>
      </c>
      <c r="D12" s="60">
        <v>1</v>
      </c>
      <c r="E12" s="61">
        <f t="shared" si="0"/>
        <v>1</v>
      </c>
      <c r="F12" s="60">
        <v>1</v>
      </c>
      <c r="G12" s="60">
        <v>1</v>
      </c>
      <c r="H12" s="61">
        <f t="shared" si="1"/>
        <v>1</v>
      </c>
      <c r="I12" s="60">
        <v>1</v>
      </c>
      <c r="J12" s="60">
        <v>2</v>
      </c>
      <c r="K12" s="61">
        <f t="shared" si="2"/>
        <v>0.5</v>
      </c>
      <c r="L12" s="60"/>
      <c r="M12" s="60"/>
      <c r="N12" s="61" t="e">
        <f t="shared" si="3"/>
        <v>#DIV/0!</v>
      </c>
    </row>
    <row r="13" spans="1:14" ht="19.5" customHeight="1">
      <c r="A13" s="352" t="s">
        <v>63</v>
      </c>
      <c r="B13" s="353"/>
      <c r="C13" s="60">
        <v>4</v>
      </c>
      <c r="D13" s="60">
        <v>4</v>
      </c>
      <c r="E13" s="61">
        <f t="shared" si="0"/>
        <v>1</v>
      </c>
      <c r="F13" s="60">
        <v>4</v>
      </c>
      <c r="G13" s="60">
        <v>5</v>
      </c>
      <c r="H13" s="61">
        <f t="shared" si="1"/>
        <v>0.8</v>
      </c>
      <c r="I13" s="60">
        <v>5</v>
      </c>
      <c r="J13" s="60">
        <v>5</v>
      </c>
      <c r="K13" s="61">
        <f t="shared" si="2"/>
        <v>1</v>
      </c>
      <c r="L13" s="60"/>
      <c r="M13" s="60"/>
      <c r="N13" s="61" t="e">
        <f t="shared" si="3"/>
        <v>#DIV/0!</v>
      </c>
    </row>
    <row r="14" spans="1:14" ht="25.5" customHeight="1">
      <c r="A14" s="354" t="s">
        <v>737</v>
      </c>
      <c r="B14" s="355"/>
      <c r="C14" s="60">
        <f>SUM(C7:C13)</f>
        <v>69</v>
      </c>
      <c r="D14" s="60">
        <f>SUM(D7:D13)</f>
        <v>76</v>
      </c>
      <c r="E14" s="61">
        <f t="shared" si="0"/>
        <v>0.90789473684210531</v>
      </c>
      <c r="F14" s="60">
        <f>SUM(F7:F13)</f>
        <v>94</v>
      </c>
      <c r="G14" s="60">
        <f>SUM(G7:G13)</f>
        <v>111</v>
      </c>
      <c r="H14" s="61">
        <f t="shared" si="1"/>
        <v>0.84684684684684686</v>
      </c>
      <c r="I14" s="60">
        <f>SUM(I7:I13)</f>
        <v>92</v>
      </c>
      <c r="J14" s="60">
        <f>SUM(J7:J13)</f>
        <v>112</v>
      </c>
      <c r="K14" s="61">
        <f t="shared" si="2"/>
        <v>0.8214285714285714</v>
      </c>
      <c r="L14" s="60">
        <f>SUM(L7:L13)</f>
        <v>0</v>
      </c>
      <c r="M14" s="60">
        <f>SUM(M7:M13)</f>
        <v>0</v>
      </c>
      <c r="N14" s="61" t="e">
        <f t="shared" si="3"/>
        <v>#DIV/0!</v>
      </c>
    </row>
    <row r="15" spans="1:14" ht="21.75" customHeight="1">
      <c r="A15" s="354" t="s">
        <v>10</v>
      </c>
      <c r="B15" s="355"/>
      <c r="H15" s="273"/>
      <c r="I15" s="274"/>
    </row>
    <row r="17" spans="1:15" ht="15.75" customHeight="1">
      <c r="A17" s="351" t="s">
        <v>734</v>
      </c>
      <c r="B17" s="351"/>
      <c r="C17" s="351"/>
      <c r="D17" s="351"/>
      <c r="E17" s="351"/>
      <c r="F17" s="351"/>
      <c r="G17" s="351"/>
      <c r="H17" s="351"/>
      <c r="I17" s="351"/>
      <c r="J17" s="351"/>
      <c r="K17" s="351"/>
      <c r="L17" s="351"/>
      <c r="M17" s="351"/>
      <c r="N17" s="52"/>
    </row>
    <row r="18" spans="1:15" ht="15.75" customHeight="1">
      <c r="A18" s="351"/>
      <c r="B18" s="351"/>
      <c r="C18" s="351"/>
      <c r="D18" s="351"/>
      <c r="E18" s="351"/>
      <c r="F18" s="351"/>
      <c r="G18" s="351"/>
      <c r="H18" s="351"/>
      <c r="I18" s="351"/>
      <c r="J18" s="351"/>
      <c r="K18" s="351"/>
      <c r="L18" s="351"/>
      <c r="M18" s="351"/>
      <c r="N18" s="52"/>
    </row>
    <row r="19" spans="1:15" ht="21.75" customHeight="1">
      <c r="A19" s="350" t="s">
        <v>369</v>
      </c>
      <c r="B19" s="350" t="s">
        <v>370</v>
      </c>
      <c r="C19" s="350" t="s">
        <v>381</v>
      </c>
      <c r="D19" s="350"/>
      <c r="E19" s="350"/>
      <c r="F19" s="350"/>
      <c r="G19" s="350"/>
      <c r="H19" s="350"/>
      <c r="I19" s="350"/>
      <c r="J19" s="350"/>
      <c r="K19" s="350"/>
      <c r="L19" s="350"/>
      <c r="M19" s="350"/>
      <c r="N19" s="350"/>
    </row>
    <row r="20" spans="1:15" ht="15.75">
      <c r="A20" s="350"/>
      <c r="B20" s="350"/>
      <c r="C20" s="350" t="s">
        <v>382</v>
      </c>
      <c r="D20" s="350"/>
      <c r="E20" s="350"/>
      <c r="F20" s="350" t="s">
        <v>383</v>
      </c>
      <c r="G20" s="350"/>
      <c r="H20" s="350"/>
      <c r="I20" s="350" t="s">
        <v>384</v>
      </c>
      <c r="J20" s="350"/>
      <c r="K20" s="350"/>
      <c r="L20" s="350" t="s">
        <v>385</v>
      </c>
      <c r="M20" s="350"/>
      <c r="N20" s="350"/>
    </row>
    <row r="21" spans="1:15" ht="20.25" customHeight="1">
      <c r="A21" s="350"/>
      <c r="B21" s="350"/>
      <c r="C21" s="53" t="s">
        <v>730</v>
      </c>
      <c r="D21" s="53" t="s">
        <v>729</v>
      </c>
      <c r="E21" s="55" t="s">
        <v>738</v>
      </c>
      <c r="F21" s="53" t="s">
        <v>730</v>
      </c>
      <c r="G21" s="53" t="s">
        <v>729</v>
      </c>
      <c r="H21" s="55" t="s">
        <v>738</v>
      </c>
      <c r="I21" s="53" t="s">
        <v>729</v>
      </c>
      <c r="J21" s="53" t="s">
        <v>730</v>
      </c>
      <c r="K21" s="55" t="s">
        <v>738</v>
      </c>
      <c r="L21" s="53" t="s">
        <v>729</v>
      </c>
      <c r="M21" s="53" t="s">
        <v>730</v>
      </c>
      <c r="N21" s="55" t="s">
        <v>738</v>
      </c>
    </row>
    <row r="22" spans="1:15" ht="13.5" customHeight="1">
      <c r="A22" s="356" t="s">
        <v>60</v>
      </c>
      <c r="B22" s="49" t="s">
        <v>371</v>
      </c>
      <c r="C22" s="48">
        <f>+'TALENTO_ HUMANO'!R5</f>
        <v>0.25</v>
      </c>
      <c r="D22" s="58">
        <f>+'TALENTO_ HUMANO'!N5</f>
        <v>0.25</v>
      </c>
      <c r="E22" s="61">
        <f>IF(C22/D22&gt;100%,100%,C22/D22)</f>
        <v>1</v>
      </c>
      <c r="F22" s="48">
        <f>+'TALENTO_ HUMANO'!U5</f>
        <v>0.5</v>
      </c>
      <c r="G22" s="58">
        <f>+'TALENTO_ HUMANO'!O5</f>
        <v>0.5</v>
      </c>
      <c r="H22" s="61">
        <f>IF(F22/G22&gt;100%,100%,F22/G22)</f>
        <v>1</v>
      </c>
      <c r="I22" s="58">
        <f>+'TALENTO_ HUMANO'!P5</f>
        <v>0.75</v>
      </c>
      <c r="J22" s="48">
        <f>+'TALENTO_ HUMANO'!Y5</f>
        <v>0.75</v>
      </c>
      <c r="K22" s="61">
        <f>IF(I22/J22&gt;100%,100%,I22/J22)</f>
        <v>1</v>
      </c>
      <c r="L22" s="58">
        <f>+'TALENTO_ HUMANO'!Q5</f>
        <v>1</v>
      </c>
      <c r="M22" s="48">
        <f>+'TALENTO_ HUMANO'!AC5</f>
        <v>0</v>
      </c>
      <c r="N22" s="61" t="e">
        <f>IF(L22/M22&gt;100%,100%,L22/M22)</f>
        <v>#DIV/0!</v>
      </c>
    </row>
    <row r="23" spans="1:15" ht="13.5" customHeight="1">
      <c r="A23" s="356"/>
      <c r="B23" s="49" t="s">
        <v>372</v>
      </c>
      <c r="C23" s="48">
        <f>+'TALENTO_ HUMANO'!R10</f>
        <v>0.25</v>
      </c>
      <c r="D23" s="58">
        <f>+'TALENTO_ HUMANO'!N10</f>
        <v>0.25</v>
      </c>
      <c r="E23" s="61">
        <f t="shared" ref="E23:E35" si="4">IF(C23/D23&gt;100%,100%,C23/D23)</f>
        <v>1</v>
      </c>
      <c r="F23" s="48">
        <f>+'TALENTO_ HUMANO'!U10</f>
        <v>0.5</v>
      </c>
      <c r="G23" s="58">
        <f>+'TALENTO_ HUMANO'!O10</f>
        <v>0.5</v>
      </c>
      <c r="H23" s="61">
        <f t="shared" ref="H23:H33" si="5">IF(F23/G23&gt;100%,100%,F23/G23)</f>
        <v>1</v>
      </c>
      <c r="I23" s="58">
        <f>+'TALENTO_ HUMANO'!P10</f>
        <v>0.75</v>
      </c>
      <c r="J23" s="48">
        <f>+'TALENTO_ HUMANO'!Y10</f>
        <v>0.75</v>
      </c>
      <c r="K23" s="61">
        <f t="shared" ref="K23:K33" si="6">IF(I23/J23&gt;100%,100%,I23/J23)</f>
        <v>1</v>
      </c>
      <c r="L23" s="58">
        <f>+'TALENTO_ HUMANO'!Q10</f>
        <v>1</v>
      </c>
      <c r="M23" s="48">
        <f>+'TALENTO_ HUMANO'!AC10</f>
        <v>0</v>
      </c>
      <c r="N23" s="61" t="e">
        <f t="shared" ref="N23:N33" si="7">IF(L23/M23&gt;100%,100%,L23/M23)</f>
        <v>#DIV/0!</v>
      </c>
    </row>
    <row r="24" spans="1:15" ht="13.5" customHeight="1">
      <c r="A24" s="356"/>
      <c r="B24" s="49" t="s">
        <v>373</v>
      </c>
      <c r="C24" s="48">
        <f>+'TALENTO_ HUMANO'!R7</f>
        <v>0.25</v>
      </c>
      <c r="D24" s="48">
        <f>+'TALENTO_ HUMANO'!N7</f>
        <v>0.25</v>
      </c>
      <c r="E24" s="61">
        <f t="shared" si="4"/>
        <v>1</v>
      </c>
      <c r="F24" s="48">
        <f>+'TALENTO_ HUMANO'!U7</f>
        <v>0.5</v>
      </c>
      <c r="G24" s="48">
        <f>+'TALENTO_ HUMANO'!O7</f>
        <v>0.5</v>
      </c>
      <c r="H24" s="61">
        <f t="shared" si="5"/>
        <v>1</v>
      </c>
      <c r="I24" s="48">
        <f>+'TALENTO_ HUMANO'!P7</f>
        <v>0.75</v>
      </c>
      <c r="J24" s="48">
        <f>+'TALENTO_ HUMANO'!Y7</f>
        <v>0.75</v>
      </c>
      <c r="K24" s="61">
        <f t="shared" si="6"/>
        <v>1</v>
      </c>
      <c r="L24" s="48">
        <f>+'TALENTO_ HUMANO'!Q7</f>
        <v>1</v>
      </c>
      <c r="M24" s="48">
        <f>+'TALENTO_ HUMANO'!AC7</f>
        <v>0</v>
      </c>
      <c r="N24" s="61" t="e">
        <f t="shared" si="7"/>
        <v>#DIV/0!</v>
      </c>
    </row>
    <row r="25" spans="1:15" ht="13.5" customHeight="1">
      <c r="A25" s="356"/>
      <c r="B25" s="49" t="s">
        <v>213</v>
      </c>
      <c r="C25" s="48">
        <f>+'TALENTO_ HUMANO'!R15</f>
        <v>0.25</v>
      </c>
      <c r="D25" s="48">
        <f>+'TALENTO_ HUMANO'!N15</f>
        <v>0.25</v>
      </c>
      <c r="E25" s="61">
        <f t="shared" si="4"/>
        <v>1</v>
      </c>
      <c r="F25" s="48">
        <f>+'TALENTO_ HUMANO'!U15</f>
        <v>0.5</v>
      </c>
      <c r="G25" s="48">
        <f>+'TALENTO_ HUMANO'!O15</f>
        <v>0.5</v>
      </c>
      <c r="H25" s="61">
        <f t="shared" si="5"/>
        <v>1</v>
      </c>
      <c r="I25" s="48">
        <f>+'TALENTO_ HUMANO'!P15</f>
        <v>0.75</v>
      </c>
      <c r="J25" s="48">
        <f>+'TALENTO_ HUMANO'!Y15</f>
        <v>0.75</v>
      </c>
      <c r="K25" s="61">
        <f t="shared" si="6"/>
        <v>1</v>
      </c>
      <c r="L25" s="48">
        <f>+'TALENTO_ HUMANO'!Q15</f>
        <v>1</v>
      </c>
      <c r="M25" s="48">
        <f>+'TALENTO_ HUMANO'!AC15</f>
        <v>0</v>
      </c>
      <c r="N25" s="61" t="e">
        <f t="shared" si="7"/>
        <v>#DIV/0!</v>
      </c>
      <c r="O25" s="59"/>
    </row>
    <row r="26" spans="1:15" ht="13.5" customHeight="1">
      <c r="A26" s="356"/>
      <c r="B26" s="49" t="s">
        <v>214</v>
      </c>
      <c r="C26" s="48">
        <f>+'TALENTO_ HUMANO'!R14</f>
        <v>0.25</v>
      </c>
      <c r="D26" s="48">
        <f>+'TALENTO_ HUMANO'!N14</f>
        <v>0.25</v>
      </c>
      <c r="E26" s="61">
        <f t="shared" si="4"/>
        <v>1</v>
      </c>
      <c r="F26" s="48">
        <f>+'TALENTO_ HUMANO'!U14</f>
        <v>0.5</v>
      </c>
      <c r="G26" s="48">
        <f>+'TALENTO_ HUMANO'!O14</f>
        <v>0.5</v>
      </c>
      <c r="H26" s="61">
        <f t="shared" si="5"/>
        <v>1</v>
      </c>
      <c r="I26" s="48">
        <f>+'TALENTO_ HUMANO'!P14</f>
        <v>0.75</v>
      </c>
      <c r="J26" s="48">
        <f>+'TALENTO_ HUMANO'!Y14</f>
        <v>0.75</v>
      </c>
      <c r="K26" s="61">
        <f t="shared" si="6"/>
        <v>1</v>
      </c>
      <c r="L26" s="48">
        <f>+'TALENTO_ HUMANO'!Q14</f>
        <v>1</v>
      </c>
      <c r="M26" s="48">
        <f>+'TALENTO_ HUMANO'!AC14</f>
        <v>0</v>
      </c>
      <c r="N26" s="61" t="e">
        <f t="shared" si="7"/>
        <v>#DIV/0!</v>
      </c>
      <c r="O26" s="59"/>
    </row>
    <row r="27" spans="1:15" ht="13.5" customHeight="1">
      <c r="A27" s="356"/>
      <c r="B27" s="49" t="s">
        <v>374</v>
      </c>
      <c r="C27" s="48">
        <f>+'TALENTO_ HUMANO'!R13</f>
        <v>0.25</v>
      </c>
      <c r="D27" s="48">
        <f>+'TALENTO_ HUMANO'!N13</f>
        <v>0.25</v>
      </c>
      <c r="E27" s="61">
        <f t="shared" si="4"/>
        <v>1</v>
      </c>
      <c r="F27" s="48">
        <f>+'TALENTO_ HUMANO'!U13</f>
        <v>0.5</v>
      </c>
      <c r="G27" s="48">
        <f>+'TALENTO_ HUMANO'!O13</f>
        <v>0.5</v>
      </c>
      <c r="H27" s="61">
        <f t="shared" si="5"/>
        <v>1</v>
      </c>
      <c r="I27" s="48">
        <f>+'TALENTO_ HUMANO'!P13</f>
        <v>0.75</v>
      </c>
      <c r="J27" s="48">
        <f>+'TALENTO_ HUMANO'!Y13</f>
        <v>0.75</v>
      </c>
      <c r="K27" s="61">
        <f t="shared" si="6"/>
        <v>1</v>
      </c>
      <c r="L27" s="48">
        <f>+'TALENTO_ HUMANO'!Q13</f>
        <v>1</v>
      </c>
      <c r="M27" s="48">
        <f>+'TALENTO_ HUMANO'!AC13</f>
        <v>0</v>
      </c>
      <c r="N27" s="61" t="e">
        <f t="shared" si="7"/>
        <v>#DIV/0!</v>
      </c>
    </row>
    <row r="28" spans="1:15" ht="14.25" customHeight="1">
      <c r="A28" s="54" t="s">
        <v>731</v>
      </c>
      <c r="B28" s="49" t="s">
        <v>375</v>
      </c>
      <c r="C28" s="48">
        <f>+'DIRECCIONAMIENTO ESTRATEGICO'!R9</f>
        <v>0.15</v>
      </c>
      <c r="D28" s="48">
        <f>+'DIRECCIONAMIENTO ESTRATEGICO'!N9</f>
        <v>0.15</v>
      </c>
      <c r="E28" s="61">
        <f t="shared" si="4"/>
        <v>1</v>
      </c>
      <c r="F28" s="48">
        <f>+'DIRECCIONAMIENTO ESTRATEGICO'!U9</f>
        <v>0.84</v>
      </c>
      <c r="G28" s="48">
        <f>+'DIRECCIONAMIENTO ESTRATEGICO'!O9</f>
        <v>0.3</v>
      </c>
      <c r="H28" s="61">
        <f t="shared" si="5"/>
        <v>1</v>
      </c>
      <c r="I28" s="48">
        <f>+'DIRECCIONAMIENTO ESTRATEGICO'!P9</f>
        <v>0.7</v>
      </c>
      <c r="J28" s="48">
        <f>+'DIRECCIONAMIENTO ESTRATEGICO'!Y9</f>
        <v>0.85329999999999995</v>
      </c>
      <c r="K28" s="61">
        <f t="shared" si="6"/>
        <v>0.82034454470877771</v>
      </c>
      <c r="L28" s="48">
        <f>+'DIRECCIONAMIENTO ESTRATEGICO'!Q9</f>
        <v>1</v>
      </c>
      <c r="M28" s="48">
        <f>+'DIRECCIONAMIENTO ESTRATEGICO'!AC9</f>
        <v>0</v>
      </c>
      <c r="N28" s="61" t="e">
        <f t="shared" si="7"/>
        <v>#DIV/0!</v>
      </c>
    </row>
    <row r="29" spans="1:15" ht="13.5" customHeight="1">
      <c r="A29" s="357" t="s">
        <v>58</v>
      </c>
      <c r="B29" s="49" t="s">
        <v>376</v>
      </c>
      <c r="C29" s="48">
        <f>+'DIRECCIONAMIENTO ESTRATEGICO'!R7</f>
        <v>0.15</v>
      </c>
      <c r="D29" s="48">
        <f>+'DIRECCIONAMIENTO ESTRATEGICO'!N7</f>
        <v>0.15</v>
      </c>
      <c r="E29" s="61">
        <f t="shared" si="4"/>
        <v>1</v>
      </c>
      <c r="F29" s="48">
        <f>+'DIRECCIONAMIENTO ESTRATEGICO'!U7</f>
        <v>0.2</v>
      </c>
      <c r="G29" s="48">
        <f>+'DIRECCIONAMIENTO ESTRATEGICO'!O7</f>
        <v>0.3</v>
      </c>
      <c r="H29" s="61">
        <f t="shared" si="5"/>
        <v>0.66666666666666674</v>
      </c>
      <c r="I29" s="48">
        <f>+'DIRECCIONAMIENTO ESTRATEGICO'!P7</f>
        <v>0.7</v>
      </c>
      <c r="J29" s="48">
        <f>+'DIRECCIONAMIENTO ESTRATEGICO'!Y7</f>
        <v>0.8</v>
      </c>
      <c r="K29" s="61">
        <f t="shared" si="6"/>
        <v>0.87499999999999989</v>
      </c>
      <c r="L29" s="48">
        <f>+'DIRECCIONAMIENTO ESTRATEGICO'!Q7</f>
        <v>1</v>
      </c>
      <c r="M29" s="48">
        <f>+'DIRECCIONAMIENTO ESTRATEGICO'!AC7</f>
        <v>0</v>
      </c>
      <c r="N29" s="61" t="e">
        <f t="shared" si="7"/>
        <v>#DIV/0!</v>
      </c>
      <c r="O29" s="59"/>
    </row>
    <row r="30" spans="1:15" ht="13.5" customHeight="1">
      <c r="A30" s="357"/>
      <c r="B30" s="49" t="s">
        <v>377</v>
      </c>
      <c r="C30" s="48" t="str">
        <f>+'VALORES PARA RESULTADOS'!R7</f>
        <v>N/A</v>
      </c>
      <c r="D30" s="48">
        <f>+'VALORES PARA RESULTADOS'!N7</f>
        <v>0.15</v>
      </c>
      <c r="E30" s="61" t="e">
        <f t="shared" si="4"/>
        <v>#VALUE!</v>
      </c>
      <c r="F30" s="48">
        <f>+'VALORES PARA RESULTADOS'!U7</f>
        <v>0.30663615560640733</v>
      </c>
      <c r="G30" s="48">
        <f>+'VALORES PARA RESULTADOS'!O7</f>
        <v>0.3</v>
      </c>
      <c r="H30" s="61">
        <f t="shared" si="5"/>
        <v>1</v>
      </c>
      <c r="I30" s="48">
        <f>+'VALORES PARA RESULTADOS'!P7</f>
        <v>0.7</v>
      </c>
      <c r="J30" s="48">
        <f>+'VALORES PARA RESULTADOS'!Y7</f>
        <v>0.78947368421052633</v>
      </c>
      <c r="K30" s="61">
        <f t="shared" si="6"/>
        <v>0.8866666666666666</v>
      </c>
      <c r="L30" s="48">
        <f>+'VALORES PARA RESULTADOS'!Q7</f>
        <v>1</v>
      </c>
      <c r="M30" s="48">
        <f>+'VALORES PARA RESULTADOS'!AC7</f>
        <v>0</v>
      </c>
      <c r="N30" s="61" t="e">
        <f t="shared" si="7"/>
        <v>#DIV/0!</v>
      </c>
      <c r="O30" s="59"/>
    </row>
    <row r="31" spans="1:15" ht="13.5" customHeight="1">
      <c r="A31" s="357"/>
      <c r="B31" s="49" t="s">
        <v>378</v>
      </c>
      <c r="C31" s="48" t="str">
        <f>+'VALORES PARA RESULTADOS'!R8</f>
        <v>N/A</v>
      </c>
      <c r="D31" s="48">
        <f>+'VALORES PARA RESULTADOS'!N8</f>
        <v>0.15</v>
      </c>
      <c r="E31" s="61" t="e">
        <f t="shared" si="4"/>
        <v>#VALUE!</v>
      </c>
      <c r="F31" s="48">
        <f>+'VALORES PARA RESULTADOS'!U8</f>
        <v>0.2857142857142857</v>
      </c>
      <c r="G31" s="48">
        <f>+'VALORES PARA RESULTADOS'!O8</f>
        <v>0.3</v>
      </c>
      <c r="H31" s="61">
        <f t="shared" si="5"/>
        <v>0.95238095238095233</v>
      </c>
      <c r="I31" s="48">
        <f>+'VALORES PARA RESULTADOS'!P8</f>
        <v>0.7</v>
      </c>
      <c r="J31" s="48">
        <f>+'VALORES PARA RESULTADOS'!Y8</f>
        <v>0.90476190476190477</v>
      </c>
      <c r="K31" s="61">
        <f t="shared" si="6"/>
        <v>0.77368421052631575</v>
      </c>
      <c r="L31" s="48">
        <f>+'VALORES PARA RESULTADOS'!Q8</f>
        <v>1</v>
      </c>
      <c r="M31" s="48">
        <f>+'VALORES PARA RESULTADOS'!AC8</f>
        <v>0</v>
      </c>
      <c r="N31" s="61" t="e">
        <f t="shared" si="7"/>
        <v>#DIV/0!</v>
      </c>
      <c r="O31" s="59"/>
    </row>
    <row r="32" spans="1:15" ht="13.5" customHeight="1">
      <c r="A32" s="357"/>
      <c r="B32" s="49" t="s">
        <v>379</v>
      </c>
      <c r="C32" s="48">
        <f>+'DIRECCIONAMIENTO ESTRATEGICO'!R5</f>
        <v>0.15</v>
      </c>
      <c r="D32" s="48">
        <f>+'DIRECCIONAMIENTO ESTRATEGICO'!N5</f>
        <v>0.15</v>
      </c>
      <c r="E32" s="61">
        <f t="shared" si="4"/>
        <v>1</v>
      </c>
      <c r="F32" s="48">
        <f>+'DIRECCIONAMIENTO ESTRATEGICO'!U5</f>
        <v>0.3</v>
      </c>
      <c r="G32" s="48">
        <f>+'DIRECCIONAMIENTO ESTRATEGICO'!O5</f>
        <v>0.3</v>
      </c>
      <c r="H32" s="61">
        <f t="shared" si="5"/>
        <v>1</v>
      </c>
      <c r="I32" s="48">
        <f>+'DIRECCIONAMIENTO ESTRATEGICO'!P5</f>
        <v>0.7</v>
      </c>
      <c r="J32" s="48">
        <f>+'DIRECCIONAMIENTO ESTRATEGICO'!Y5</f>
        <v>0.85135135135135132</v>
      </c>
      <c r="K32" s="61">
        <f t="shared" si="6"/>
        <v>0.82222222222222219</v>
      </c>
      <c r="L32" s="48">
        <f>+'DIRECCIONAMIENTO ESTRATEGICO'!Q5</f>
        <v>1</v>
      </c>
      <c r="M32" s="48">
        <f>+'DIRECCIONAMIENTO ESTRATEGICO'!AC5</f>
        <v>0</v>
      </c>
      <c r="N32" s="61" t="e">
        <f t="shared" si="7"/>
        <v>#DIV/0!</v>
      </c>
      <c r="O32" s="59"/>
    </row>
    <row r="33" spans="1:15" ht="13.5" customHeight="1">
      <c r="A33" s="54" t="s">
        <v>61</v>
      </c>
      <c r="B33" s="49" t="s">
        <v>380</v>
      </c>
      <c r="C33" s="48">
        <f>+'INFORMACIÓN Y COMUNICACIÓN'!R21</f>
        <v>0.6</v>
      </c>
      <c r="D33" s="50">
        <f>+'INFORMACIÓN Y COMUNICACIÓN'!N21</f>
        <v>0</v>
      </c>
      <c r="E33" s="61" t="e">
        <f t="shared" si="4"/>
        <v>#DIV/0!</v>
      </c>
      <c r="F33" s="48">
        <f>+'INFORMACIÓN Y COMUNICACIÓN'!U21</f>
        <v>0.41</v>
      </c>
      <c r="G33" s="50">
        <f>+'INFORMACIÓN Y COMUNICACIÓN'!O21</f>
        <v>0.2</v>
      </c>
      <c r="H33" s="61">
        <f t="shared" si="5"/>
        <v>1</v>
      </c>
      <c r="I33" s="50">
        <f>+'INFORMACIÓN Y COMUNICACIÓN'!P21</f>
        <v>0.4</v>
      </c>
      <c r="J33" s="48">
        <f>+'INFORMACIÓN Y COMUNICACIÓN'!Y21</f>
        <v>0.64</v>
      </c>
      <c r="K33" s="61">
        <f t="shared" si="6"/>
        <v>0.625</v>
      </c>
      <c r="L33" s="50">
        <f>+'INFORMACIÓN Y COMUNICACIÓN'!Q21</f>
        <v>0.4</v>
      </c>
      <c r="M33" s="48">
        <f>+'INFORMACIÓN Y COMUNICACIÓN'!AC21</f>
        <v>0</v>
      </c>
      <c r="N33" s="61" t="e">
        <f t="shared" si="7"/>
        <v>#DIV/0!</v>
      </c>
      <c r="O33" s="59"/>
    </row>
    <row r="35" spans="1:15" ht="19.5" customHeight="1">
      <c r="B35" s="49" t="s">
        <v>415</v>
      </c>
      <c r="C35" s="48">
        <f>+'DIRECCIONAMIENTO ESTRATEGICO'!R10</f>
        <v>0.5</v>
      </c>
      <c r="D35" s="48">
        <f>+'DIRECCIONAMIENTO ESTRATEGICO'!N10</f>
        <v>0.25</v>
      </c>
      <c r="E35" s="61">
        <f t="shared" si="4"/>
        <v>1</v>
      </c>
      <c r="F35" s="48">
        <f>+'DIRECCIONAMIENTO ESTRATEGICO'!U10</f>
        <v>0.9375</v>
      </c>
      <c r="G35" s="48">
        <f>+'DIRECCIONAMIENTO ESTRATEGICO'!O10</f>
        <v>0.5</v>
      </c>
      <c r="H35" s="61">
        <f t="shared" ref="H35" si="8">IF(F35/G35&gt;100%,100%,F35/G35)</f>
        <v>1</v>
      </c>
      <c r="I35" s="48"/>
      <c r="J35" s="48"/>
      <c r="K35" s="58"/>
      <c r="L35" s="48"/>
      <c r="M35" s="48"/>
      <c r="N35" s="58"/>
      <c r="O35" s="59"/>
    </row>
  </sheetData>
  <mergeCells count="26">
    <mergeCell ref="L20:N20"/>
    <mergeCell ref="A19:A21"/>
    <mergeCell ref="B19:B21"/>
    <mergeCell ref="A22:A27"/>
    <mergeCell ref="A29:A32"/>
    <mergeCell ref="C20:E20"/>
    <mergeCell ref="F20:H20"/>
    <mergeCell ref="I20:K20"/>
    <mergeCell ref="C19:N19"/>
    <mergeCell ref="A17:M18"/>
    <mergeCell ref="A7:B7"/>
    <mergeCell ref="A8:B8"/>
    <mergeCell ref="A9:B9"/>
    <mergeCell ref="A10:B10"/>
    <mergeCell ref="A11:B11"/>
    <mergeCell ref="A12:B12"/>
    <mergeCell ref="A13:B13"/>
    <mergeCell ref="A14:B14"/>
    <mergeCell ref="A15:B15"/>
    <mergeCell ref="A2:M3"/>
    <mergeCell ref="A4:B6"/>
    <mergeCell ref="C5:E5"/>
    <mergeCell ref="F5:H5"/>
    <mergeCell ref="I5:K5"/>
    <mergeCell ref="L5:N5"/>
    <mergeCell ref="C4:N4"/>
  </mergeCells>
  <conditionalFormatting sqref="C35 C22:C33">
    <cfRule type="expression" dxfId="30" priority="31">
      <formula>"SI($E$22&lt;$D$22)"</formula>
    </cfRule>
  </conditionalFormatting>
  <conditionalFormatting sqref="E7:E14">
    <cfRule type="cellIs" dxfId="29" priority="28" operator="between">
      <formula>0.8</formula>
      <formula>1</formula>
    </cfRule>
    <cfRule type="cellIs" dxfId="28" priority="29" operator="between">
      <formula>0.6</formula>
      <formula>0.8</formula>
    </cfRule>
    <cfRule type="cellIs" dxfId="27" priority="30" operator="between">
      <formula>0</formula>
      <formula>0.6</formula>
    </cfRule>
  </conditionalFormatting>
  <conditionalFormatting sqref="H7:H14">
    <cfRule type="cellIs" dxfId="26" priority="25" operator="between">
      <formula>0.8</formula>
      <formula>1</formula>
    </cfRule>
    <cfRule type="cellIs" dxfId="25" priority="26" operator="between">
      <formula>0.6</formula>
      <formula>0.8</formula>
    </cfRule>
    <cfRule type="cellIs" dxfId="24" priority="27" operator="between">
      <formula>0</formula>
      <formula>0.6</formula>
    </cfRule>
  </conditionalFormatting>
  <conditionalFormatting sqref="K7:K14">
    <cfRule type="cellIs" dxfId="23" priority="22" operator="between">
      <formula>0.8</formula>
      <formula>1</formula>
    </cfRule>
    <cfRule type="cellIs" dxfId="22" priority="23" operator="between">
      <formula>0.6</formula>
      <formula>0.8</formula>
    </cfRule>
    <cfRule type="cellIs" dxfId="21" priority="24" operator="between">
      <formula>0</formula>
      <formula>0.6</formula>
    </cfRule>
  </conditionalFormatting>
  <conditionalFormatting sqref="N7:N14">
    <cfRule type="cellIs" dxfId="20" priority="19" operator="between">
      <formula>0.8</formula>
      <formula>1</formula>
    </cfRule>
    <cfRule type="cellIs" dxfId="19" priority="20" operator="between">
      <formula>0.6</formula>
      <formula>0.8</formula>
    </cfRule>
    <cfRule type="cellIs" dxfId="18" priority="21" operator="between">
      <formula>0</formula>
      <formula>0.6</formula>
    </cfRule>
  </conditionalFormatting>
  <conditionalFormatting sqref="E22:E33">
    <cfRule type="cellIs" dxfId="17" priority="16" operator="between">
      <formula>0.8</formula>
      <formula>1</formula>
    </cfRule>
    <cfRule type="cellIs" dxfId="16" priority="17" operator="between">
      <formula>0.6</formula>
      <formula>0.8</formula>
    </cfRule>
    <cfRule type="cellIs" dxfId="15" priority="18" operator="between">
      <formula>0</formula>
      <formula>0.6</formula>
    </cfRule>
  </conditionalFormatting>
  <conditionalFormatting sqref="H22:H33">
    <cfRule type="cellIs" dxfId="14" priority="13" operator="between">
      <formula>0.8</formula>
      <formula>1</formula>
    </cfRule>
    <cfRule type="cellIs" dxfId="13" priority="14" operator="between">
      <formula>0.6</formula>
      <formula>0.8</formula>
    </cfRule>
    <cfRule type="cellIs" dxfId="12" priority="15" operator="between">
      <formula>0</formula>
      <formula>0.6</formula>
    </cfRule>
  </conditionalFormatting>
  <conditionalFormatting sqref="K22:K33">
    <cfRule type="cellIs" dxfId="11" priority="10" operator="between">
      <formula>0.8</formula>
      <formula>1</formula>
    </cfRule>
    <cfRule type="cellIs" dxfId="10" priority="11" operator="between">
      <formula>0.6</formula>
      <formula>0.8</formula>
    </cfRule>
    <cfRule type="cellIs" dxfId="9" priority="12" operator="between">
      <formula>0</formula>
      <formula>0.6</formula>
    </cfRule>
  </conditionalFormatting>
  <conditionalFormatting sqref="N22:N33">
    <cfRule type="cellIs" dxfId="8" priority="7" operator="between">
      <formula>0.8</formula>
      <formula>1</formula>
    </cfRule>
    <cfRule type="cellIs" dxfId="7" priority="8" operator="between">
      <formula>0.6</formula>
      <formula>0.8</formula>
    </cfRule>
    <cfRule type="cellIs" dxfId="6" priority="9" operator="between">
      <formula>0</formula>
      <formula>0.6</formula>
    </cfRule>
  </conditionalFormatting>
  <conditionalFormatting sqref="E35">
    <cfRule type="cellIs" dxfId="5" priority="4" operator="between">
      <formula>0.8</formula>
      <formula>1</formula>
    </cfRule>
    <cfRule type="cellIs" dxfId="4" priority="5" operator="between">
      <formula>0.6</formula>
      <formula>0.8</formula>
    </cfRule>
    <cfRule type="cellIs" dxfId="3" priority="6" operator="between">
      <formula>0</formula>
      <formula>0.6</formula>
    </cfRule>
  </conditionalFormatting>
  <conditionalFormatting sqref="H35">
    <cfRule type="cellIs" dxfId="2" priority="1" operator="between">
      <formula>0.8</formula>
      <formula>1</formula>
    </cfRule>
    <cfRule type="cellIs" dxfId="1" priority="2" operator="between">
      <formula>0.6</formula>
      <formula>0.8</formula>
    </cfRule>
    <cfRule type="cellIs" dxfId="0" priority="3" operator="between">
      <formula>0</formula>
      <formula>0.6</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pane xSplit="1" ySplit="2" topLeftCell="B3" activePane="bottomRight" state="frozen"/>
      <selection pane="topRight" activeCell="B1" sqref="B1"/>
      <selection pane="bottomLeft" activeCell="A3" sqref="A3"/>
      <selection pane="bottomRight" activeCell="C8" sqref="C8"/>
    </sheetView>
  </sheetViews>
  <sheetFormatPr baseColWidth="10" defaultRowHeight="12.75"/>
  <cols>
    <col min="1" max="1" width="8.85546875" bestFit="1" customWidth="1"/>
    <col min="2" max="2" width="10.140625" style="12" bestFit="1" customWidth="1"/>
    <col min="3" max="3" width="40.5703125" customWidth="1"/>
    <col min="4" max="4" width="22.140625" customWidth="1"/>
    <col min="5" max="5" width="11.7109375" style="12" customWidth="1"/>
    <col min="6" max="6" width="12.85546875" customWidth="1"/>
    <col min="7" max="7" width="13.85546875" customWidth="1"/>
  </cols>
  <sheetData>
    <row r="1" spans="1:9" ht="29.25" customHeight="1">
      <c r="A1" s="649" t="s">
        <v>1190</v>
      </c>
      <c r="B1" s="649"/>
      <c r="C1" s="649"/>
      <c r="D1" s="649"/>
      <c r="E1" s="649"/>
      <c r="F1" s="649"/>
    </row>
    <row r="2" spans="1:9" ht="30" customHeight="1">
      <c r="A2" s="275" t="s">
        <v>1202</v>
      </c>
      <c r="B2" s="275" t="s">
        <v>1196</v>
      </c>
      <c r="C2" s="275" t="s">
        <v>1203</v>
      </c>
      <c r="D2" s="658" t="s">
        <v>1204</v>
      </c>
      <c r="E2" s="659"/>
      <c r="F2" s="285" t="s">
        <v>1198</v>
      </c>
    </row>
    <row r="3" spans="1:9" ht="63.75">
      <c r="A3" s="276" t="s">
        <v>1195</v>
      </c>
      <c r="B3" s="279">
        <v>43125</v>
      </c>
      <c r="C3" s="277" t="s">
        <v>1197</v>
      </c>
      <c r="D3" s="656" t="s">
        <v>1205</v>
      </c>
      <c r="E3" s="657"/>
      <c r="F3" s="276" t="s">
        <v>1199</v>
      </c>
      <c r="G3" s="278"/>
      <c r="H3" s="278"/>
      <c r="I3" s="278"/>
    </row>
    <row r="4" spans="1:9" ht="58.5" customHeight="1">
      <c r="A4" s="276" t="s">
        <v>1191</v>
      </c>
      <c r="B4" s="279">
        <v>43131</v>
      </c>
      <c r="C4" s="277" t="s">
        <v>1201</v>
      </c>
      <c r="D4" s="656" t="s">
        <v>539</v>
      </c>
      <c r="E4" s="657"/>
      <c r="F4" s="60" t="s">
        <v>1200</v>
      </c>
      <c r="G4" s="278"/>
      <c r="H4" s="278"/>
      <c r="I4" s="278"/>
    </row>
    <row r="5" spans="1:9" ht="19.5" customHeight="1">
      <c r="A5" s="276" t="s">
        <v>1192</v>
      </c>
      <c r="B5" s="279">
        <v>43189</v>
      </c>
      <c r="C5" s="283"/>
      <c r="D5" s="283"/>
      <c r="E5" s="283"/>
      <c r="F5" s="284"/>
      <c r="G5" s="278"/>
      <c r="H5" s="278"/>
      <c r="I5" s="278"/>
    </row>
    <row r="6" spans="1:9" ht="25.5" customHeight="1">
      <c r="A6" s="276" t="s">
        <v>1193</v>
      </c>
      <c r="B6" s="279">
        <v>43280</v>
      </c>
      <c r="C6" s="283"/>
      <c r="D6" s="283"/>
      <c r="E6" s="283"/>
      <c r="F6" s="284"/>
      <c r="G6" s="278"/>
      <c r="H6" s="278"/>
      <c r="I6" s="278"/>
    </row>
    <row r="7" spans="1:9" s="12" customFormat="1" ht="68.25" customHeight="1">
      <c r="A7" s="650" t="s">
        <v>1194</v>
      </c>
      <c r="B7" s="653">
        <v>43293</v>
      </c>
      <c r="C7" s="288" t="s">
        <v>1220</v>
      </c>
      <c r="D7" s="288" t="s">
        <v>1218</v>
      </c>
      <c r="E7" s="287" t="s">
        <v>1219</v>
      </c>
      <c r="F7" s="286" t="s">
        <v>341</v>
      </c>
      <c r="G7" s="278"/>
      <c r="H7" s="278"/>
      <c r="I7" s="278"/>
    </row>
    <row r="8" spans="1:9" s="12" customFormat="1" ht="45" customHeight="1">
      <c r="A8" s="651"/>
      <c r="B8" s="654"/>
      <c r="C8" s="277" t="s">
        <v>1214</v>
      </c>
      <c r="D8" s="277" t="s">
        <v>1217</v>
      </c>
      <c r="E8" s="660" t="s">
        <v>1207</v>
      </c>
      <c r="F8" s="276" t="s">
        <v>149</v>
      </c>
      <c r="G8" s="278"/>
      <c r="H8" s="278"/>
      <c r="I8" s="278"/>
    </row>
    <row r="9" spans="1:9" s="12" customFormat="1" ht="48" customHeight="1">
      <c r="A9" s="651"/>
      <c r="B9" s="654"/>
      <c r="C9" s="277" t="s">
        <v>1213</v>
      </c>
      <c r="D9" s="277" t="s">
        <v>1212</v>
      </c>
      <c r="E9" s="661"/>
      <c r="F9" s="276" t="s">
        <v>325</v>
      </c>
      <c r="G9" s="278"/>
      <c r="H9" s="278"/>
      <c r="I9" s="278"/>
    </row>
    <row r="10" spans="1:9" s="12" customFormat="1" ht="52.5" customHeight="1">
      <c r="A10" s="651"/>
      <c r="B10" s="654"/>
      <c r="C10" s="277" t="s">
        <v>1210</v>
      </c>
      <c r="D10" s="277" t="s">
        <v>1209</v>
      </c>
      <c r="E10" s="661"/>
      <c r="F10" s="276" t="s">
        <v>174</v>
      </c>
      <c r="G10" s="278"/>
      <c r="H10" s="278"/>
      <c r="I10" s="278"/>
    </row>
    <row r="11" spans="1:9" s="12" customFormat="1" ht="52.5" customHeight="1">
      <c r="A11" s="651"/>
      <c r="B11" s="654"/>
      <c r="C11" s="277" t="s">
        <v>1215</v>
      </c>
      <c r="D11" s="282" t="s">
        <v>1211</v>
      </c>
      <c r="E11" s="661"/>
      <c r="F11" s="276" t="s">
        <v>1216</v>
      </c>
      <c r="G11" s="278"/>
      <c r="H11" s="278"/>
      <c r="I11" s="278"/>
    </row>
    <row r="12" spans="1:9" ht="52.5" customHeight="1">
      <c r="A12" s="652"/>
      <c r="B12" s="655"/>
      <c r="C12" s="277" t="s">
        <v>1206</v>
      </c>
      <c r="D12" s="277" t="s">
        <v>1208</v>
      </c>
      <c r="E12" s="662"/>
      <c r="F12" s="276" t="s">
        <v>150</v>
      </c>
      <c r="G12" s="278"/>
      <c r="H12" s="278"/>
      <c r="I12" s="278"/>
    </row>
    <row r="13" spans="1:9">
      <c r="C13" s="278"/>
      <c r="D13" s="278"/>
      <c r="E13" s="278"/>
      <c r="F13" s="278"/>
      <c r="G13" s="278"/>
      <c r="H13" s="278"/>
      <c r="I13" s="278"/>
    </row>
    <row r="14" spans="1:9">
      <c r="C14" s="278"/>
      <c r="D14" s="278"/>
      <c r="E14" s="278"/>
      <c r="F14" s="278"/>
      <c r="G14" s="278"/>
      <c r="H14" s="278"/>
      <c r="I14" s="278"/>
    </row>
    <row r="15" spans="1:9">
      <c r="C15" s="278"/>
      <c r="D15" s="278"/>
      <c r="E15" s="278"/>
      <c r="F15" s="278"/>
      <c r="G15" s="278"/>
      <c r="H15" s="278"/>
      <c r="I15" s="278"/>
    </row>
    <row r="16" spans="1:9">
      <c r="C16" s="278"/>
      <c r="D16" s="278"/>
      <c r="E16" s="278"/>
      <c r="F16" s="278"/>
      <c r="G16" s="278"/>
      <c r="H16" s="278"/>
      <c r="I16" s="278"/>
    </row>
    <row r="17" spans="3:9">
      <c r="C17" s="278"/>
      <c r="D17" s="278"/>
      <c r="E17" s="278"/>
      <c r="F17" s="278"/>
      <c r="G17" s="278"/>
      <c r="H17" s="278"/>
      <c r="I17" s="278"/>
    </row>
  </sheetData>
  <mergeCells count="7">
    <mergeCell ref="A1:F1"/>
    <mergeCell ref="A7:A12"/>
    <mergeCell ref="B7:B12"/>
    <mergeCell ref="D3:E3"/>
    <mergeCell ref="D4:E4"/>
    <mergeCell ref="D2:E2"/>
    <mergeCell ref="E8:E12"/>
  </mergeCells>
  <hyperlinks>
    <hyperlink ref="D3" r:id="rId1"/>
    <hyperlink ref="D4" r:id="rId2"/>
    <hyperlink ref="E8" r:id="rId3"/>
  </hyperlinks>
  <pageMargins left="0.7" right="0.7" top="0.75" bottom="0.75" header="0.3" footer="0.3"/>
  <pageSetup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26"/>
  <sheetViews>
    <sheetView zoomScale="55" zoomScaleNormal="55" workbookViewId="0">
      <selection activeCell="K1" sqref="K1:K3"/>
    </sheetView>
  </sheetViews>
  <sheetFormatPr baseColWidth="10" defaultColWidth="10.7109375" defaultRowHeight="12.75"/>
  <cols>
    <col min="1" max="1" width="19.42578125" customWidth="1"/>
    <col min="2" max="2" width="19.42578125" style="12" customWidth="1"/>
    <col min="3" max="3" width="20.5703125" customWidth="1"/>
    <col min="4" max="4" width="20.7109375" customWidth="1"/>
    <col min="5" max="5" width="18.42578125" customWidth="1"/>
    <col min="6" max="6" width="14.28515625" customWidth="1"/>
    <col min="7" max="7" width="19" customWidth="1"/>
    <col min="8" max="8" width="29.7109375" customWidth="1"/>
    <col min="9" max="9" width="35.85546875" style="12" customWidth="1"/>
    <col min="10" max="10" width="21.42578125" style="12" customWidth="1"/>
    <col min="11" max="11" width="21.85546875" style="12" customWidth="1"/>
    <col min="12" max="12" width="14.140625" style="12" customWidth="1"/>
    <col min="13" max="14" width="15.7109375" customWidth="1"/>
    <col min="15" max="18" width="17.85546875" customWidth="1"/>
    <col min="21" max="21" width="10.7109375" style="12" hidden="1" customWidth="1"/>
  </cols>
  <sheetData>
    <row r="1" spans="1:21" ht="18.75">
      <c r="A1" s="393" t="s">
        <v>94</v>
      </c>
      <c r="B1" s="393" t="s">
        <v>175</v>
      </c>
      <c r="C1" s="393" t="s">
        <v>74</v>
      </c>
      <c r="D1" s="393" t="s">
        <v>65</v>
      </c>
      <c r="E1" s="393" t="s">
        <v>66</v>
      </c>
      <c r="F1" s="393" t="s">
        <v>67</v>
      </c>
      <c r="G1" s="393" t="s">
        <v>68</v>
      </c>
      <c r="H1" s="393" t="s">
        <v>69</v>
      </c>
      <c r="I1" s="370" t="s">
        <v>250</v>
      </c>
      <c r="J1" s="393" t="s">
        <v>145</v>
      </c>
      <c r="K1" s="370" t="s">
        <v>244</v>
      </c>
      <c r="L1" s="393" t="s">
        <v>147</v>
      </c>
      <c r="M1" s="395" t="s">
        <v>70</v>
      </c>
      <c r="N1" s="395"/>
      <c r="O1" s="395" t="s">
        <v>79</v>
      </c>
      <c r="P1" s="395"/>
      <c r="Q1" s="395"/>
      <c r="R1" s="395"/>
    </row>
    <row r="2" spans="1:21" ht="30" customHeight="1">
      <c r="A2" s="393"/>
      <c r="B2" s="393"/>
      <c r="C2" s="393"/>
      <c r="D2" s="393"/>
      <c r="E2" s="393"/>
      <c r="F2" s="393"/>
      <c r="G2" s="393"/>
      <c r="H2" s="393"/>
      <c r="I2" s="371"/>
      <c r="J2" s="393"/>
      <c r="K2" s="371"/>
      <c r="L2" s="393"/>
      <c r="M2" s="396" t="s">
        <v>71</v>
      </c>
      <c r="N2" s="396" t="s">
        <v>72</v>
      </c>
      <c r="O2" s="13" t="s">
        <v>75</v>
      </c>
      <c r="P2" s="13" t="s">
        <v>76</v>
      </c>
      <c r="Q2" s="13" t="s">
        <v>77</v>
      </c>
      <c r="R2" s="13" t="s">
        <v>78</v>
      </c>
    </row>
    <row r="3" spans="1:21" ht="31.5">
      <c r="A3" s="393"/>
      <c r="B3" s="393"/>
      <c r="C3" s="393"/>
      <c r="D3" s="393"/>
      <c r="E3" s="393"/>
      <c r="F3" s="393"/>
      <c r="G3" s="393"/>
      <c r="H3" s="393"/>
      <c r="I3" s="372"/>
      <c r="J3" s="393"/>
      <c r="K3" s="372"/>
      <c r="L3" s="393"/>
      <c r="M3" s="396"/>
      <c r="N3" s="396"/>
      <c r="O3" s="26" t="s">
        <v>64</v>
      </c>
      <c r="P3" s="26" t="s">
        <v>64</v>
      </c>
      <c r="Q3" s="26" t="s">
        <v>64</v>
      </c>
      <c r="R3" s="26" t="s">
        <v>64</v>
      </c>
    </row>
    <row r="4" spans="1:21" ht="126">
      <c r="A4" s="518" t="s">
        <v>62</v>
      </c>
      <c r="B4" s="25"/>
      <c r="C4" s="517" t="s">
        <v>92</v>
      </c>
      <c r="D4" s="21" t="s">
        <v>165</v>
      </c>
      <c r="E4" s="19">
        <v>0.7</v>
      </c>
      <c r="F4" s="17" t="s">
        <v>95</v>
      </c>
      <c r="G4" s="25" t="s">
        <v>129</v>
      </c>
      <c r="H4" s="41" t="s">
        <v>130</v>
      </c>
      <c r="I4" s="8"/>
      <c r="J4" s="42" t="s">
        <v>166</v>
      </c>
      <c r="K4" s="35"/>
      <c r="L4" s="41"/>
      <c r="M4" s="43">
        <v>43132</v>
      </c>
      <c r="N4" s="43">
        <v>43373</v>
      </c>
      <c r="O4" s="9">
        <v>0.2</v>
      </c>
      <c r="P4" s="9">
        <v>0.5</v>
      </c>
      <c r="Q4" s="9">
        <v>1</v>
      </c>
      <c r="R4" s="9">
        <v>1</v>
      </c>
      <c r="U4" s="30" t="s">
        <v>177</v>
      </c>
    </row>
    <row r="5" spans="1:21" ht="204.75">
      <c r="A5" s="518"/>
      <c r="B5" s="25"/>
      <c r="C5" s="517"/>
      <c r="D5" s="21" t="s">
        <v>206</v>
      </c>
      <c r="E5" s="19">
        <v>0.3</v>
      </c>
      <c r="F5" s="17" t="s">
        <v>95</v>
      </c>
      <c r="G5" s="25" t="s">
        <v>131</v>
      </c>
      <c r="H5" s="41" t="s">
        <v>132</v>
      </c>
      <c r="I5" s="8"/>
      <c r="J5" s="42" t="s">
        <v>166</v>
      </c>
      <c r="K5" s="35"/>
      <c r="L5" s="41"/>
      <c r="M5" s="43">
        <v>43282</v>
      </c>
      <c r="N5" s="43">
        <v>43464</v>
      </c>
      <c r="O5" s="9">
        <v>0</v>
      </c>
      <c r="P5" s="9">
        <v>0</v>
      </c>
      <c r="Q5" s="9">
        <v>0.5</v>
      </c>
      <c r="R5" s="9">
        <v>1</v>
      </c>
      <c r="U5" s="29" t="s">
        <v>176</v>
      </c>
    </row>
    <row r="6" spans="1:21" ht="15.75">
      <c r="I6" s="8"/>
      <c r="K6" s="35"/>
      <c r="U6" s="27" t="s">
        <v>178</v>
      </c>
    </row>
    <row r="7" spans="1:21" ht="15.75">
      <c r="I7" s="8"/>
      <c r="K7" s="35"/>
      <c r="U7" s="27" t="s">
        <v>179</v>
      </c>
    </row>
    <row r="8" spans="1:21" ht="15.75">
      <c r="I8" s="8"/>
      <c r="K8" s="35"/>
      <c r="U8" s="27" t="s">
        <v>180</v>
      </c>
    </row>
    <row r="9" spans="1:21" ht="15.75">
      <c r="I9" s="8"/>
      <c r="K9" s="35"/>
      <c r="U9" s="27" t="s">
        <v>181</v>
      </c>
    </row>
    <row r="10" spans="1:21" ht="15.75">
      <c r="I10" s="8"/>
      <c r="K10" s="35"/>
      <c r="U10" s="27" t="s">
        <v>182</v>
      </c>
    </row>
    <row r="11" spans="1:21" ht="51">
      <c r="I11" s="8"/>
      <c r="K11" s="35"/>
      <c r="U11" s="29" t="s">
        <v>183</v>
      </c>
    </row>
    <row r="12" spans="1:21" ht="15.75">
      <c r="I12" s="8"/>
      <c r="K12" s="35"/>
      <c r="U12" s="27" t="s">
        <v>184</v>
      </c>
    </row>
    <row r="13" spans="1:21" ht="15.75">
      <c r="I13" s="8"/>
      <c r="K13" s="35"/>
    </row>
    <row r="14" spans="1:21" ht="15.75">
      <c r="I14" s="8"/>
      <c r="K14" s="38"/>
    </row>
    <row r="15" spans="1:21">
      <c r="I15" s="44"/>
      <c r="K15" s="40"/>
    </row>
    <row r="16" spans="1:21">
      <c r="I16" s="45"/>
      <c r="K16" s="40"/>
    </row>
    <row r="17" spans="9:11">
      <c r="I17" s="45"/>
      <c r="K17" s="40"/>
    </row>
    <row r="18" spans="9:11">
      <c r="I18" s="45"/>
      <c r="K18" s="40"/>
    </row>
    <row r="19" spans="9:11" ht="15">
      <c r="I19" s="45"/>
      <c r="K19" s="33"/>
    </row>
    <row r="20" spans="9:11" ht="15">
      <c r="I20" s="45"/>
      <c r="K20" s="33"/>
    </row>
    <row r="21" spans="9:11" ht="15">
      <c r="I21" s="45"/>
      <c r="K21" s="33"/>
    </row>
    <row r="22" spans="9:11" ht="15">
      <c r="I22" s="45"/>
      <c r="K22" s="33"/>
    </row>
    <row r="23" spans="9:11" ht="15">
      <c r="I23" s="45"/>
      <c r="K23" s="33"/>
    </row>
    <row r="24" spans="9:11">
      <c r="I24" s="46"/>
      <c r="K24" s="34"/>
    </row>
    <row r="25" spans="9:11">
      <c r="K25" s="34"/>
    </row>
    <row r="26" spans="9:11">
      <c r="K26" s="34"/>
    </row>
  </sheetData>
  <autoFilter ref="A1:R5">
    <filterColumn colId="12" showButton="0"/>
    <filterColumn colId="14" showButton="0"/>
    <filterColumn colId="15" showButton="0"/>
    <filterColumn colId="16" showButton="0"/>
  </autoFilter>
  <mergeCells count="18">
    <mergeCell ref="O1:R1"/>
    <mergeCell ref="J1:J3"/>
    <mergeCell ref="L1:L3"/>
    <mergeCell ref="I1:I3"/>
    <mergeCell ref="K1:K3"/>
    <mergeCell ref="M2:M3"/>
    <mergeCell ref="N2:N3"/>
    <mergeCell ref="A4:A5"/>
    <mergeCell ref="C4:C5"/>
    <mergeCell ref="G1:G3"/>
    <mergeCell ref="H1:H3"/>
    <mergeCell ref="M1:N1"/>
    <mergeCell ref="A1:A3"/>
    <mergeCell ref="C1:C3"/>
    <mergeCell ref="D1:D3"/>
    <mergeCell ref="E1:E3"/>
    <mergeCell ref="F1:F3"/>
    <mergeCell ref="B1:B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A4:B4 B5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26"/>
  <sheetViews>
    <sheetView zoomScale="55" zoomScaleNormal="55" workbookViewId="0">
      <selection activeCell="K18" sqref="K18"/>
    </sheetView>
  </sheetViews>
  <sheetFormatPr baseColWidth="10" defaultColWidth="10.7109375" defaultRowHeight="12.75"/>
  <cols>
    <col min="1" max="1" width="17.5703125" customWidth="1"/>
    <col min="2" max="2" width="18.85546875" style="12" customWidth="1"/>
    <col min="3" max="3" width="20.5703125" customWidth="1"/>
    <col min="4" max="4" width="33" customWidth="1"/>
    <col min="5" max="5" width="14.42578125" customWidth="1"/>
    <col min="6" max="6" width="17.85546875" customWidth="1"/>
    <col min="7" max="7" width="18.28515625" customWidth="1"/>
    <col min="8" max="8" width="43.5703125" customWidth="1"/>
    <col min="9" max="9" width="35.85546875" style="12" customWidth="1"/>
    <col min="10" max="10" width="26.42578125" style="12" customWidth="1"/>
    <col min="11" max="11" width="21.85546875" style="12" customWidth="1"/>
    <col min="12" max="12" width="26.42578125" style="12" customWidth="1"/>
    <col min="13" max="14" width="17.140625" customWidth="1"/>
    <col min="15" max="18" width="19.7109375" customWidth="1"/>
    <col min="21" max="21" width="10.7109375" style="12" hidden="1" customWidth="1"/>
  </cols>
  <sheetData>
    <row r="1" spans="1:21" ht="18.75">
      <c r="A1" s="393" t="s">
        <v>94</v>
      </c>
      <c r="B1" s="393" t="s">
        <v>175</v>
      </c>
      <c r="C1" s="393" t="s">
        <v>74</v>
      </c>
      <c r="D1" s="393" t="s">
        <v>65</v>
      </c>
      <c r="E1" s="393" t="s">
        <v>66</v>
      </c>
      <c r="F1" s="393" t="s">
        <v>67</v>
      </c>
      <c r="G1" s="393" t="s">
        <v>68</v>
      </c>
      <c r="H1" s="393" t="s">
        <v>69</v>
      </c>
      <c r="I1" s="370" t="s">
        <v>250</v>
      </c>
      <c r="J1" s="393" t="s">
        <v>145</v>
      </c>
      <c r="K1" s="370" t="s">
        <v>244</v>
      </c>
      <c r="L1" s="393" t="s">
        <v>147</v>
      </c>
      <c r="M1" s="395" t="s">
        <v>70</v>
      </c>
      <c r="N1" s="395"/>
      <c r="O1" s="395" t="s">
        <v>79</v>
      </c>
      <c r="P1" s="395"/>
      <c r="Q1" s="395"/>
      <c r="R1" s="395"/>
    </row>
    <row r="2" spans="1:21" ht="30" customHeight="1">
      <c r="A2" s="393"/>
      <c r="B2" s="393"/>
      <c r="C2" s="393"/>
      <c r="D2" s="393"/>
      <c r="E2" s="393"/>
      <c r="F2" s="393"/>
      <c r="G2" s="393"/>
      <c r="H2" s="393"/>
      <c r="I2" s="371"/>
      <c r="J2" s="393"/>
      <c r="K2" s="371"/>
      <c r="L2" s="393"/>
      <c r="M2" s="396" t="s">
        <v>71</v>
      </c>
      <c r="N2" s="396" t="s">
        <v>72</v>
      </c>
      <c r="O2" s="13" t="s">
        <v>75</v>
      </c>
      <c r="P2" s="13" t="s">
        <v>76</v>
      </c>
      <c r="Q2" s="13" t="s">
        <v>77</v>
      </c>
      <c r="R2" s="13" t="s">
        <v>78</v>
      </c>
    </row>
    <row r="3" spans="1:21" ht="31.5">
      <c r="A3" s="393"/>
      <c r="B3" s="393"/>
      <c r="C3" s="393"/>
      <c r="D3" s="393"/>
      <c r="E3" s="393"/>
      <c r="F3" s="393"/>
      <c r="G3" s="393"/>
      <c r="H3" s="393"/>
      <c r="I3" s="372"/>
      <c r="J3" s="393"/>
      <c r="K3" s="372"/>
      <c r="L3" s="393"/>
      <c r="M3" s="396"/>
      <c r="N3" s="396"/>
      <c r="O3" s="26" t="s">
        <v>64</v>
      </c>
      <c r="P3" s="26" t="s">
        <v>64</v>
      </c>
      <c r="Q3" s="26" t="s">
        <v>64</v>
      </c>
      <c r="R3" s="26" t="s">
        <v>64</v>
      </c>
    </row>
    <row r="4" spans="1:21" ht="78.75">
      <c r="A4" s="663" t="s">
        <v>59</v>
      </c>
      <c r="B4" s="17"/>
      <c r="C4" s="664" t="s">
        <v>93</v>
      </c>
      <c r="D4" s="8" t="s">
        <v>111</v>
      </c>
      <c r="E4" s="19">
        <v>0.15</v>
      </c>
      <c r="F4" s="17" t="s">
        <v>167</v>
      </c>
      <c r="G4" s="21">
        <v>1</v>
      </c>
      <c r="H4" s="8" t="s">
        <v>168</v>
      </c>
      <c r="I4" s="8"/>
      <c r="J4" s="8" t="s">
        <v>146</v>
      </c>
      <c r="K4" s="35"/>
      <c r="L4" s="8"/>
      <c r="M4" s="22">
        <v>43101</v>
      </c>
      <c r="N4" s="18">
        <v>43131</v>
      </c>
      <c r="O4" s="9">
        <v>1</v>
      </c>
      <c r="P4" s="9">
        <v>1</v>
      </c>
      <c r="Q4" s="9">
        <v>1</v>
      </c>
      <c r="R4" s="9">
        <v>1</v>
      </c>
      <c r="U4" s="30" t="s">
        <v>177</v>
      </c>
    </row>
    <row r="5" spans="1:21" ht="127.5">
      <c r="A5" s="663"/>
      <c r="B5" s="17"/>
      <c r="C5" s="664"/>
      <c r="D5" s="8" t="s">
        <v>169</v>
      </c>
      <c r="E5" s="19">
        <v>0.15</v>
      </c>
      <c r="F5" s="17" t="s">
        <v>167</v>
      </c>
      <c r="G5" s="21">
        <v>1</v>
      </c>
      <c r="H5" s="8" t="s">
        <v>170</v>
      </c>
      <c r="I5" s="8"/>
      <c r="J5" s="28" t="s">
        <v>173</v>
      </c>
      <c r="K5" s="35"/>
      <c r="L5" s="8"/>
      <c r="M5" s="22">
        <v>43101</v>
      </c>
      <c r="N5" s="18">
        <v>43220</v>
      </c>
      <c r="O5" s="9">
        <v>0.8</v>
      </c>
      <c r="P5" s="9">
        <v>1</v>
      </c>
      <c r="Q5" s="9">
        <v>1</v>
      </c>
      <c r="R5" s="9">
        <v>1</v>
      </c>
      <c r="U5" s="29" t="s">
        <v>176</v>
      </c>
    </row>
    <row r="6" spans="1:21" ht="78.75">
      <c r="A6" s="663"/>
      <c r="B6" s="17"/>
      <c r="C6" s="664"/>
      <c r="D6" s="8" t="s">
        <v>205</v>
      </c>
      <c r="E6" s="19">
        <v>0.3</v>
      </c>
      <c r="F6" s="17" t="s">
        <v>167</v>
      </c>
      <c r="G6" s="21">
        <v>1</v>
      </c>
      <c r="H6" s="8" t="s">
        <v>171</v>
      </c>
      <c r="I6" s="8"/>
      <c r="J6" s="8" t="s">
        <v>146</v>
      </c>
      <c r="K6" s="35"/>
      <c r="L6" s="8"/>
      <c r="M6" s="22">
        <v>43101</v>
      </c>
      <c r="N6" s="18">
        <v>43465</v>
      </c>
      <c r="O6" s="9">
        <v>0.25</v>
      </c>
      <c r="P6" s="9">
        <v>0.5</v>
      </c>
      <c r="Q6" s="9">
        <v>0.75</v>
      </c>
      <c r="R6" s="9">
        <v>1</v>
      </c>
      <c r="U6" s="27" t="s">
        <v>178</v>
      </c>
    </row>
    <row r="7" spans="1:21" ht="47.25">
      <c r="A7" s="663"/>
      <c r="B7" s="17"/>
      <c r="C7" s="664"/>
      <c r="D7" s="8" t="s">
        <v>104</v>
      </c>
      <c r="E7" s="19">
        <v>0.15</v>
      </c>
      <c r="F7" s="17" t="s">
        <v>167</v>
      </c>
      <c r="G7" s="21">
        <v>1</v>
      </c>
      <c r="H7" s="8" t="s">
        <v>105</v>
      </c>
      <c r="I7" s="8"/>
      <c r="J7" s="28" t="s">
        <v>173</v>
      </c>
      <c r="K7" s="35"/>
      <c r="L7" s="8"/>
      <c r="M7" s="22">
        <v>43101</v>
      </c>
      <c r="N7" s="18">
        <v>43465</v>
      </c>
      <c r="O7" s="9">
        <v>0.33300000000000002</v>
      </c>
      <c r="P7" s="9">
        <v>0.33300000000000002</v>
      </c>
      <c r="Q7" s="9">
        <v>0.66300000000000003</v>
      </c>
      <c r="R7" s="9">
        <v>1</v>
      </c>
      <c r="U7" s="27" t="s">
        <v>179</v>
      </c>
    </row>
    <row r="8" spans="1:21" ht="47.25">
      <c r="A8" s="663"/>
      <c r="B8" s="17"/>
      <c r="C8" s="664"/>
      <c r="D8" s="8" t="s">
        <v>106</v>
      </c>
      <c r="E8" s="19">
        <v>0.15</v>
      </c>
      <c r="F8" s="17" t="s">
        <v>167</v>
      </c>
      <c r="G8" s="21">
        <v>1</v>
      </c>
      <c r="H8" s="8" t="s">
        <v>107</v>
      </c>
      <c r="I8" s="8"/>
      <c r="J8" s="8" t="s">
        <v>174</v>
      </c>
      <c r="K8" s="35"/>
      <c r="L8" s="8"/>
      <c r="M8" s="22">
        <v>43101</v>
      </c>
      <c r="N8" s="18">
        <v>43465</v>
      </c>
      <c r="O8" s="9">
        <v>1</v>
      </c>
      <c r="P8" s="9">
        <v>1</v>
      </c>
      <c r="Q8" s="9">
        <v>1</v>
      </c>
      <c r="R8" s="9">
        <v>1</v>
      </c>
      <c r="U8" s="27" t="s">
        <v>180</v>
      </c>
    </row>
    <row r="9" spans="1:21" ht="47.25">
      <c r="A9" s="663"/>
      <c r="B9" s="17"/>
      <c r="C9" s="664"/>
      <c r="D9" s="8" t="s">
        <v>108</v>
      </c>
      <c r="E9" s="19">
        <v>0.1</v>
      </c>
      <c r="F9" s="17" t="s">
        <v>167</v>
      </c>
      <c r="G9" s="21">
        <v>1</v>
      </c>
      <c r="H9" s="8" t="s">
        <v>172</v>
      </c>
      <c r="I9" s="8"/>
      <c r="J9" s="8" t="s">
        <v>146</v>
      </c>
      <c r="K9" s="35"/>
      <c r="L9" s="8"/>
      <c r="M9" s="22">
        <v>43101</v>
      </c>
      <c r="N9" s="18">
        <v>43465</v>
      </c>
      <c r="O9" s="9">
        <v>0</v>
      </c>
      <c r="P9" s="9">
        <v>0.5</v>
      </c>
      <c r="Q9" s="9">
        <v>0.5</v>
      </c>
      <c r="R9" s="9">
        <v>1</v>
      </c>
      <c r="U9" s="27" t="s">
        <v>181</v>
      </c>
    </row>
    <row r="10" spans="1:21" ht="15.75">
      <c r="I10" s="8"/>
      <c r="K10" s="35"/>
      <c r="U10" s="27" t="s">
        <v>182</v>
      </c>
    </row>
    <row r="11" spans="1:21" ht="51">
      <c r="I11" s="8"/>
      <c r="K11" s="35"/>
      <c r="U11" s="29" t="s">
        <v>183</v>
      </c>
    </row>
    <row r="12" spans="1:21" ht="15.75">
      <c r="I12" s="8"/>
      <c r="K12" s="35"/>
      <c r="U12" s="27" t="s">
        <v>184</v>
      </c>
    </row>
    <row r="13" spans="1:21" ht="15.75">
      <c r="I13" s="8"/>
      <c r="K13" s="35"/>
    </row>
    <row r="14" spans="1:21" ht="15.75">
      <c r="I14" s="8"/>
      <c r="K14" s="38"/>
    </row>
    <row r="15" spans="1:21">
      <c r="I15" s="44"/>
      <c r="K15" s="40"/>
    </row>
    <row r="16" spans="1:21">
      <c r="I16" s="45"/>
      <c r="K16" s="40"/>
    </row>
    <row r="17" spans="9:11">
      <c r="I17" s="45"/>
      <c r="K17" s="40"/>
    </row>
    <row r="18" spans="9:11">
      <c r="I18" s="45"/>
      <c r="K18" s="40"/>
    </row>
    <row r="19" spans="9:11" ht="15">
      <c r="I19" s="45"/>
      <c r="K19" s="33"/>
    </row>
    <row r="20" spans="9:11" ht="15">
      <c r="I20" s="45"/>
      <c r="K20" s="33"/>
    </row>
    <row r="21" spans="9:11" ht="15">
      <c r="I21" s="45"/>
      <c r="K21" s="33"/>
    </row>
    <row r="22" spans="9:11" ht="15">
      <c r="I22" s="45"/>
      <c r="K22" s="33"/>
    </row>
    <row r="23" spans="9:11" ht="15">
      <c r="I23" s="45"/>
      <c r="K23" s="33"/>
    </row>
    <row r="24" spans="9:11">
      <c r="I24" s="46"/>
      <c r="K24" s="34"/>
    </row>
    <row r="25" spans="9:11">
      <c r="K25" s="34"/>
    </row>
    <row r="26" spans="9:11">
      <c r="K26" s="34"/>
    </row>
  </sheetData>
  <autoFilter ref="A1:R9">
    <filterColumn colId="12" showButton="0"/>
    <filterColumn colId="14" showButton="0"/>
    <filterColumn colId="15" showButton="0"/>
    <filterColumn colId="16" showButton="0"/>
  </autoFilter>
  <mergeCells count="18">
    <mergeCell ref="A4:A9"/>
    <mergeCell ref="C4:C9"/>
    <mergeCell ref="M2:M3"/>
    <mergeCell ref="I1:I3"/>
    <mergeCell ref="N2:N3"/>
    <mergeCell ref="A1:A3"/>
    <mergeCell ref="C1:C3"/>
    <mergeCell ref="D1:D3"/>
    <mergeCell ref="E1:E3"/>
    <mergeCell ref="F1:F3"/>
    <mergeCell ref="G1:G3"/>
    <mergeCell ref="H1:H3"/>
    <mergeCell ref="M1:N1"/>
    <mergeCell ref="O1:R1"/>
    <mergeCell ref="J1:J3"/>
    <mergeCell ref="L1:L3"/>
    <mergeCell ref="K1:K3"/>
    <mergeCell ref="B1:B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A4:B4 B5:B9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cols>
    <col min="3" max="3" width="16.42578125" customWidth="1"/>
  </cols>
  <sheetData>
    <row r="1" spans="1:15" ht="12.75" customHeight="1">
      <c r="A1" s="669" t="s">
        <v>13</v>
      </c>
      <c r="B1" s="668" t="s">
        <v>5</v>
      </c>
      <c r="C1" s="669" t="s">
        <v>14</v>
      </c>
      <c r="D1" s="669" t="s">
        <v>12</v>
      </c>
      <c r="E1" s="669" t="s">
        <v>17</v>
      </c>
      <c r="F1" s="669" t="s">
        <v>15</v>
      </c>
      <c r="G1" s="669" t="s">
        <v>11</v>
      </c>
      <c r="H1" s="668" t="s">
        <v>10</v>
      </c>
      <c r="I1" s="665" t="s">
        <v>2</v>
      </c>
      <c r="J1" s="667"/>
      <c r="K1" s="665" t="s">
        <v>3</v>
      </c>
      <c r="L1" s="666"/>
      <c r="M1" s="666"/>
      <c r="N1" s="666"/>
      <c r="O1" s="667"/>
    </row>
    <row r="2" spans="1:15" ht="90">
      <c r="A2" s="670"/>
      <c r="B2" s="668"/>
      <c r="C2" s="670"/>
      <c r="D2" s="670"/>
      <c r="E2" s="670"/>
      <c r="F2" s="670"/>
      <c r="G2" s="670"/>
      <c r="H2" s="668"/>
      <c r="I2" s="3" t="s">
        <v>0</v>
      </c>
      <c r="J2" s="3" t="s">
        <v>1</v>
      </c>
      <c r="K2" s="1" t="s">
        <v>7</v>
      </c>
      <c r="L2" s="1" t="s">
        <v>8</v>
      </c>
      <c r="M2" s="2" t="s">
        <v>6</v>
      </c>
      <c r="N2" s="1" t="s">
        <v>9</v>
      </c>
      <c r="O2" s="3" t="s">
        <v>4</v>
      </c>
    </row>
    <row r="3" spans="1:15" ht="12.75" customHeight="1">
      <c r="A3" s="7" t="s">
        <v>16</v>
      </c>
      <c r="B3" t="s">
        <v>18</v>
      </c>
      <c r="M3" s="4" t="s">
        <v>57</v>
      </c>
    </row>
    <row r="4" spans="1:15" ht="12.75" customHeight="1">
      <c r="A4" s="7" t="s">
        <v>58</v>
      </c>
      <c r="B4" t="s">
        <v>19</v>
      </c>
      <c r="M4" s="5" t="s">
        <v>21</v>
      </c>
    </row>
    <row r="5" spans="1:15" ht="12.75" customHeight="1">
      <c r="A5" s="7" t="s">
        <v>59</v>
      </c>
      <c r="B5" t="s">
        <v>20</v>
      </c>
      <c r="M5" s="6" t="s">
        <v>22</v>
      </c>
    </row>
    <row r="6" spans="1:15" ht="12.75" customHeight="1">
      <c r="A6" s="7" t="s">
        <v>60</v>
      </c>
      <c r="B6" t="s">
        <v>73</v>
      </c>
      <c r="M6" s="5" t="s">
        <v>23</v>
      </c>
    </row>
    <row r="7" spans="1:15" ht="12.75" customHeight="1">
      <c r="A7" s="7" t="s">
        <v>61</v>
      </c>
      <c r="M7" s="6" t="s">
        <v>24</v>
      </c>
    </row>
    <row r="8" spans="1:15" ht="12.75" customHeight="1">
      <c r="A8" s="7" t="s">
        <v>62</v>
      </c>
      <c r="M8" s="5" t="s">
        <v>25</v>
      </c>
    </row>
    <row r="9" spans="1:15" ht="12.75" customHeight="1">
      <c r="A9" s="7" t="s">
        <v>63</v>
      </c>
      <c r="M9" s="6" t="s">
        <v>26</v>
      </c>
    </row>
    <row r="10" spans="1:15" ht="12.75" customHeight="1">
      <c r="M10" s="5" t="s">
        <v>27</v>
      </c>
    </row>
    <row r="11" spans="1:15" ht="12.75" customHeight="1">
      <c r="M11" s="6" t="s">
        <v>28</v>
      </c>
    </row>
    <row r="12" spans="1:15" ht="12.75" customHeight="1">
      <c r="M12" s="5" t="s">
        <v>29</v>
      </c>
    </row>
    <row r="13" spans="1:15" ht="12.75" customHeight="1">
      <c r="M13" s="6" t="s">
        <v>30</v>
      </c>
    </row>
    <row r="14" spans="1:15" ht="12.75" customHeight="1">
      <c r="M14" s="5" t="s">
        <v>31</v>
      </c>
    </row>
    <row r="15" spans="1:15" ht="12.75" customHeight="1">
      <c r="M15" s="6" t="s">
        <v>32</v>
      </c>
    </row>
    <row r="16" spans="1:15" ht="12.75" customHeight="1">
      <c r="M16" s="5" t="s">
        <v>33</v>
      </c>
    </row>
    <row r="17" spans="13:13" ht="12.75" customHeight="1">
      <c r="M17" s="6" t="s">
        <v>34</v>
      </c>
    </row>
    <row r="18" spans="13:13" ht="12.75" customHeight="1">
      <c r="M18" s="6" t="s">
        <v>35</v>
      </c>
    </row>
    <row r="19" spans="13:13" ht="12.75" customHeight="1">
      <c r="M19" s="5" t="s">
        <v>36</v>
      </c>
    </row>
    <row r="20" spans="13:13" ht="12.75" customHeight="1">
      <c r="M20" s="6" t="s">
        <v>37</v>
      </c>
    </row>
    <row r="21" spans="13:13" ht="12.75" customHeight="1">
      <c r="M21" s="5" t="s">
        <v>38</v>
      </c>
    </row>
    <row r="22" spans="13:13" ht="12.75" customHeight="1">
      <c r="M22" s="6" t="s">
        <v>39</v>
      </c>
    </row>
    <row r="23" spans="13:13" ht="12.75" customHeight="1">
      <c r="M23" s="5" t="s">
        <v>40</v>
      </c>
    </row>
    <row r="24" spans="13:13" ht="12.75" customHeight="1">
      <c r="M24" s="6" t="s">
        <v>41</v>
      </c>
    </row>
    <row r="25" spans="13:13" ht="12.75" customHeight="1">
      <c r="M25" s="5" t="s">
        <v>42</v>
      </c>
    </row>
    <row r="26" spans="13:13" ht="12.75" customHeight="1">
      <c r="M26" s="6" t="s">
        <v>43</v>
      </c>
    </row>
    <row r="27" spans="13:13" ht="12.75" customHeight="1">
      <c r="M27" s="5" t="s">
        <v>44</v>
      </c>
    </row>
    <row r="28" spans="13:13" ht="12.75" customHeight="1">
      <c r="M28" s="6" t="s">
        <v>45</v>
      </c>
    </row>
    <row r="29" spans="13:13" ht="12.75" customHeight="1">
      <c r="M29" s="5" t="s">
        <v>46</v>
      </c>
    </row>
    <row r="30" spans="13:13" ht="12.75" customHeight="1">
      <c r="M30" s="5" t="s">
        <v>47</v>
      </c>
    </row>
    <row r="31" spans="13:13" ht="12.75" customHeight="1">
      <c r="M31" s="6" t="s">
        <v>48</v>
      </c>
    </row>
    <row r="32" spans="13:13" ht="12.75" customHeight="1">
      <c r="M32" s="5" t="s">
        <v>49</v>
      </c>
    </row>
    <row r="33" spans="13:13" ht="12.75" customHeight="1">
      <c r="M33" s="6" t="s">
        <v>50</v>
      </c>
    </row>
    <row r="34" spans="13:13" ht="12.75" customHeight="1">
      <c r="M34" s="5" t="s">
        <v>51</v>
      </c>
    </row>
    <row r="35" spans="13:13" ht="12.75" customHeight="1">
      <c r="M35" s="6" t="s">
        <v>52</v>
      </c>
    </row>
    <row r="36" spans="13:13" ht="12.75" customHeight="1">
      <c r="M36" s="5" t="s">
        <v>53</v>
      </c>
    </row>
    <row r="37" spans="13:13" ht="12.75" customHeight="1">
      <c r="M37" s="6" t="s">
        <v>54</v>
      </c>
    </row>
    <row r="38" spans="13:13" ht="12.75" customHeight="1">
      <c r="M38" s="5" t="s">
        <v>55</v>
      </c>
    </row>
    <row r="39" spans="13:13" ht="12.75" customHeight="1">
      <c r="M39" s="6" t="s">
        <v>56</v>
      </c>
    </row>
    <row r="40" spans="13:13" ht="12.75" customHeight="1"/>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AI20"/>
  <sheetViews>
    <sheetView tabSelected="1" topLeftCell="G2" zoomScale="60" zoomScaleNormal="60" workbookViewId="0">
      <pane xSplit="3" ySplit="2" topLeftCell="J4" activePane="bottomRight" state="frozen"/>
      <selection activeCell="G2" sqref="G2"/>
      <selection pane="topRight" activeCell="J2" sqref="J2"/>
      <selection pane="bottomLeft" activeCell="G4" sqref="G4"/>
      <selection pane="bottomRight" activeCell="A4" sqref="A4:A20"/>
    </sheetView>
  </sheetViews>
  <sheetFormatPr baseColWidth="10" defaultColWidth="10.5703125" defaultRowHeight="15"/>
  <cols>
    <col min="1" max="1" width="19.5703125" style="134" customWidth="1"/>
    <col min="2" max="2" width="19.85546875" style="134" customWidth="1"/>
    <col min="3" max="3" width="23.5703125" style="152" customWidth="1"/>
    <col min="4" max="4" width="18" style="153" customWidth="1"/>
    <col min="5" max="5" width="25.140625" style="134" customWidth="1"/>
    <col min="6" max="6" width="17.42578125" style="134" customWidth="1"/>
    <col min="7" max="7" width="31.42578125" style="134" customWidth="1"/>
    <col min="8" max="8" width="35.85546875" style="134" customWidth="1"/>
    <col min="9" max="9" width="35.85546875" style="154" customWidth="1"/>
    <col min="10" max="11" width="21.85546875" style="134" customWidth="1"/>
    <col min="12" max="12" width="14" style="134" customWidth="1"/>
    <col min="13" max="13" width="14.42578125" style="134" customWidth="1"/>
    <col min="14" max="14" width="18.7109375" style="134" customWidth="1"/>
    <col min="15" max="15" width="19.42578125" style="134" customWidth="1"/>
    <col min="16" max="16" width="20.42578125" style="134" customWidth="1"/>
    <col min="17" max="17" width="20.85546875" style="134" customWidth="1"/>
    <col min="18" max="32" width="20.7109375" style="134" hidden="1" customWidth="1"/>
    <col min="33" max="36" width="10.5703125" style="134" customWidth="1"/>
    <col min="37" max="16384" width="10.5703125" style="134"/>
  </cols>
  <sheetData>
    <row r="1" spans="1:35" ht="27" customHeight="1">
      <c r="A1" s="393" t="s">
        <v>94</v>
      </c>
      <c r="B1" s="393" t="s">
        <v>74</v>
      </c>
      <c r="C1" s="393" t="s">
        <v>65</v>
      </c>
      <c r="D1" s="393" t="s">
        <v>66</v>
      </c>
      <c r="E1" s="393" t="s">
        <v>67</v>
      </c>
      <c r="F1" s="393" t="s">
        <v>68</v>
      </c>
      <c r="G1" s="393" t="s">
        <v>69</v>
      </c>
      <c r="H1" s="370" t="s">
        <v>250</v>
      </c>
      <c r="I1" s="370" t="s">
        <v>741</v>
      </c>
      <c r="J1" s="393" t="s">
        <v>145</v>
      </c>
      <c r="K1" s="393" t="s">
        <v>147</v>
      </c>
      <c r="L1" s="395" t="s">
        <v>70</v>
      </c>
      <c r="M1" s="395"/>
      <c r="N1" s="395" t="s">
        <v>79</v>
      </c>
      <c r="O1" s="395"/>
      <c r="P1" s="395"/>
      <c r="Q1" s="395"/>
      <c r="R1" s="384" t="s">
        <v>386</v>
      </c>
      <c r="S1" s="385"/>
      <c r="T1" s="385"/>
      <c r="U1" s="385"/>
      <c r="V1" s="385"/>
      <c r="W1" s="385"/>
      <c r="X1" s="385"/>
      <c r="Y1" s="385"/>
      <c r="Z1" s="385"/>
      <c r="AA1" s="385"/>
      <c r="AB1" s="385"/>
      <c r="AC1" s="385"/>
      <c r="AD1" s="385"/>
      <c r="AE1" s="385"/>
      <c r="AF1" s="385"/>
    </row>
    <row r="2" spans="1:35" ht="25.5" customHeight="1">
      <c r="A2" s="393"/>
      <c r="B2" s="393"/>
      <c r="C2" s="393"/>
      <c r="D2" s="393"/>
      <c r="E2" s="393"/>
      <c r="F2" s="393"/>
      <c r="G2" s="393"/>
      <c r="H2" s="371"/>
      <c r="I2" s="371"/>
      <c r="J2" s="393"/>
      <c r="K2" s="393"/>
      <c r="L2" s="396" t="s">
        <v>71</v>
      </c>
      <c r="M2" s="396" t="s">
        <v>72</v>
      </c>
      <c r="N2" s="13" t="s">
        <v>75</v>
      </c>
      <c r="O2" s="13" t="s">
        <v>76</v>
      </c>
      <c r="P2" s="13" t="s">
        <v>77</v>
      </c>
      <c r="Q2" s="13" t="s">
        <v>78</v>
      </c>
      <c r="R2" s="358" t="s">
        <v>75</v>
      </c>
      <c r="S2" s="359"/>
      <c r="T2" s="360"/>
      <c r="U2" s="358" t="s">
        <v>76</v>
      </c>
      <c r="V2" s="359"/>
      <c r="W2" s="359"/>
      <c r="X2" s="360"/>
      <c r="Y2" s="386" t="s">
        <v>77</v>
      </c>
      <c r="Z2" s="387"/>
      <c r="AA2" s="387"/>
      <c r="AB2" s="388"/>
      <c r="AC2" s="358" t="s">
        <v>78</v>
      </c>
      <c r="AD2" s="359"/>
      <c r="AE2" s="359"/>
      <c r="AF2" s="360"/>
    </row>
    <row r="3" spans="1:35" ht="41.25" customHeight="1">
      <c r="A3" s="393"/>
      <c r="B3" s="393"/>
      <c r="C3" s="393"/>
      <c r="D3" s="393"/>
      <c r="E3" s="393"/>
      <c r="F3" s="393"/>
      <c r="G3" s="393"/>
      <c r="H3" s="372"/>
      <c r="I3" s="372"/>
      <c r="J3" s="393"/>
      <c r="K3" s="393"/>
      <c r="L3" s="396"/>
      <c r="M3" s="396"/>
      <c r="N3" s="171" t="s">
        <v>64</v>
      </c>
      <c r="O3" s="171" t="s">
        <v>64</v>
      </c>
      <c r="P3" s="171" t="s">
        <v>64</v>
      </c>
      <c r="Q3" s="171" t="s">
        <v>64</v>
      </c>
      <c r="R3" s="135" t="s">
        <v>387</v>
      </c>
      <c r="S3" s="135" t="s">
        <v>388</v>
      </c>
      <c r="T3" s="135" t="s">
        <v>389</v>
      </c>
      <c r="U3" s="135" t="s">
        <v>696</v>
      </c>
      <c r="V3" s="135" t="s">
        <v>724</v>
      </c>
      <c r="W3" s="135" t="s">
        <v>708</v>
      </c>
      <c r="X3" s="135" t="s">
        <v>389</v>
      </c>
      <c r="Y3" s="292" t="s">
        <v>696</v>
      </c>
      <c r="Z3" s="292" t="s">
        <v>724</v>
      </c>
      <c r="AA3" s="292" t="s">
        <v>708</v>
      </c>
      <c r="AB3" s="292" t="s">
        <v>389</v>
      </c>
      <c r="AC3" s="135" t="s">
        <v>696</v>
      </c>
      <c r="AD3" s="135" t="s">
        <v>724</v>
      </c>
      <c r="AE3" s="135" t="s">
        <v>708</v>
      </c>
      <c r="AF3" s="135" t="s">
        <v>389</v>
      </c>
    </row>
    <row r="4" spans="1:35" ht="128.25">
      <c r="A4" s="368" t="s">
        <v>60</v>
      </c>
      <c r="B4" s="398" t="s">
        <v>86</v>
      </c>
      <c r="C4" s="399" t="s">
        <v>154</v>
      </c>
      <c r="D4" s="362">
        <v>0.15</v>
      </c>
      <c r="E4" s="136" t="s">
        <v>100</v>
      </c>
      <c r="F4" s="136">
        <v>1</v>
      </c>
      <c r="G4" s="394" t="s">
        <v>1141</v>
      </c>
      <c r="H4" s="136" t="s">
        <v>536</v>
      </c>
      <c r="I4" s="167" t="s">
        <v>742</v>
      </c>
      <c r="J4" s="172" t="s">
        <v>148</v>
      </c>
      <c r="K4" s="172" t="s">
        <v>251</v>
      </c>
      <c r="L4" s="136" t="s">
        <v>157</v>
      </c>
      <c r="M4" s="137">
        <v>43189</v>
      </c>
      <c r="N4" s="138">
        <v>1</v>
      </c>
      <c r="O4" s="138">
        <v>0</v>
      </c>
      <c r="P4" s="138">
        <v>0</v>
      </c>
      <c r="Q4" s="138">
        <v>0</v>
      </c>
      <c r="R4" s="138">
        <v>1</v>
      </c>
      <c r="S4" s="139" t="s">
        <v>514</v>
      </c>
      <c r="T4" s="139" t="s">
        <v>515</v>
      </c>
      <c r="U4" s="138" t="s">
        <v>420</v>
      </c>
      <c r="V4" s="140" t="str">
        <f>+I4</f>
        <v>Plan Estratégico de Talento Humano Fórmulado</v>
      </c>
      <c r="W4" s="139" t="s">
        <v>854</v>
      </c>
      <c r="X4" s="139" t="s">
        <v>515</v>
      </c>
      <c r="Y4" s="138" t="s">
        <v>420</v>
      </c>
      <c r="Z4" s="140" t="s">
        <v>1282</v>
      </c>
      <c r="AA4" s="139" t="s">
        <v>854</v>
      </c>
      <c r="AB4" s="139" t="s">
        <v>515</v>
      </c>
      <c r="AC4" s="138"/>
      <c r="AD4" s="138"/>
      <c r="AE4" s="138"/>
      <c r="AF4" s="138"/>
    </row>
    <row r="5" spans="1:35" ht="128.25">
      <c r="A5" s="397"/>
      <c r="B5" s="398"/>
      <c r="C5" s="399"/>
      <c r="D5" s="363"/>
      <c r="E5" s="136" t="s">
        <v>95</v>
      </c>
      <c r="F5" s="173">
        <v>1</v>
      </c>
      <c r="G5" s="361"/>
      <c r="H5" s="136" t="s">
        <v>252</v>
      </c>
      <c r="I5" s="167" t="s">
        <v>689</v>
      </c>
      <c r="J5" s="172" t="s">
        <v>148</v>
      </c>
      <c r="K5" s="172" t="s">
        <v>251</v>
      </c>
      <c r="L5" s="136" t="s">
        <v>133</v>
      </c>
      <c r="M5" s="137">
        <v>43465</v>
      </c>
      <c r="N5" s="138">
        <v>0.25</v>
      </c>
      <c r="O5" s="138">
        <v>0.5</v>
      </c>
      <c r="P5" s="138">
        <v>0.75</v>
      </c>
      <c r="Q5" s="138">
        <v>1</v>
      </c>
      <c r="R5" s="138">
        <v>0.25</v>
      </c>
      <c r="S5" s="139" t="s">
        <v>516</v>
      </c>
      <c r="T5" s="139" t="s">
        <v>517</v>
      </c>
      <c r="U5" s="138">
        <v>0.5</v>
      </c>
      <c r="V5" s="138" t="s">
        <v>1038</v>
      </c>
      <c r="W5" s="139" t="s">
        <v>855</v>
      </c>
      <c r="X5" s="139" t="s">
        <v>856</v>
      </c>
      <c r="Y5" s="138">
        <v>0.75</v>
      </c>
      <c r="Z5" s="138" t="s">
        <v>1283</v>
      </c>
      <c r="AA5" s="139" t="s">
        <v>855</v>
      </c>
      <c r="AB5" s="139" t="s">
        <v>856</v>
      </c>
      <c r="AC5" s="138"/>
      <c r="AD5" s="138"/>
      <c r="AE5" s="138"/>
      <c r="AF5" s="138"/>
      <c r="AG5" s="141"/>
    </row>
    <row r="6" spans="1:35" ht="128.25">
      <c r="A6" s="397"/>
      <c r="B6" s="398"/>
      <c r="C6" s="391" t="s">
        <v>253</v>
      </c>
      <c r="D6" s="362">
        <v>0.15</v>
      </c>
      <c r="E6" s="136" t="s">
        <v>100</v>
      </c>
      <c r="F6" s="136">
        <v>1</v>
      </c>
      <c r="G6" s="375" t="s">
        <v>1142</v>
      </c>
      <c r="H6" s="136" t="s">
        <v>254</v>
      </c>
      <c r="I6" s="378" t="s">
        <v>695</v>
      </c>
      <c r="J6" s="172" t="s">
        <v>148</v>
      </c>
      <c r="K6" s="172" t="s">
        <v>251</v>
      </c>
      <c r="L6" s="142">
        <v>43101</v>
      </c>
      <c r="M6" s="137">
        <v>43189</v>
      </c>
      <c r="N6" s="138">
        <v>1</v>
      </c>
      <c r="O6" s="138">
        <v>0</v>
      </c>
      <c r="P6" s="138">
        <v>0</v>
      </c>
      <c r="Q6" s="138">
        <v>0</v>
      </c>
      <c r="R6" s="138">
        <v>1</v>
      </c>
      <c r="S6" s="139" t="s">
        <v>518</v>
      </c>
      <c r="T6" s="139" t="s">
        <v>515</v>
      </c>
      <c r="U6" s="138" t="s">
        <v>420</v>
      </c>
      <c r="V6" s="381" t="s">
        <v>1039</v>
      </c>
      <c r="W6" s="139" t="s">
        <v>518</v>
      </c>
      <c r="X6" s="139" t="s">
        <v>515</v>
      </c>
      <c r="Y6" s="138">
        <v>0</v>
      </c>
      <c r="Z6" s="138" t="s">
        <v>1284</v>
      </c>
      <c r="AA6" s="139" t="s">
        <v>518</v>
      </c>
      <c r="AB6" s="139" t="s">
        <v>515</v>
      </c>
      <c r="AC6" s="138"/>
      <c r="AD6" s="138"/>
      <c r="AE6" s="138"/>
      <c r="AF6" s="138"/>
    </row>
    <row r="7" spans="1:35" ht="71.25">
      <c r="A7" s="397"/>
      <c r="B7" s="398"/>
      <c r="C7" s="392"/>
      <c r="D7" s="363"/>
      <c r="E7" s="136" t="s">
        <v>95</v>
      </c>
      <c r="F7" s="173">
        <v>1</v>
      </c>
      <c r="G7" s="376"/>
      <c r="H7" s="136" t="s">
        <v>255</v>
      </c>
      <c r="I7" s="379"/>
      <c r="J7" s="172" t="s">
        <v>148</v>
      </c>
      <c r="K7" s="172" t="s">
        <v>251</v>
      </c>
      <c r="L7" s="142">
        <v>43101</v>
      </c>
      <c r="M7" s="137">
        <v>43465</v>
      </c>
      <c r="N7" s="138">
        <v>0.25</v>
      </c>
      <c r="O7" s="138">
        <v>0.5</v>
      </c>
      <c r="P7" s="138">
        <v>0.75</v>
      </c>
      <c r="Q7" s="138">
        <v>1</v>
      </c>
      <c r="R7" s="138">
        <v>0.25</v>
      </c>
      <c r="S7" s="139" t="s">
        <v>516</v>
      </c>
      <c r="T7" s="139" t="s">
        <v>519</v>
      </c>
      <c r="U7" s="138">
        <v>0.5</v>
      </c>
      <c r="V7" s="382"/>
      <c r="W7" s="139" t="s">
        <v>857</v>
      </c>
      <c r="X7" s="139" t="s">
        <v>519</v>
      </c>
      <c r="Y7" s="138">
        <v>0.75</v>
      </c>
      <c r="Z7" s="138" t="s">
        <v>1285</v>
      </c>
      <c r="AA7" s="139" t="s">
        <v>857</v>
      </c>
      <c r="AB7" s="139" t="s">
        <v>519</v>
      </c>
      <c r="AC7" s="138"/>
      <c r="AD7" s="138"/>
      <c r="AE7" s="138"/>
      <c r="AF7" s="138"/>
    </row>
    <row r="8" spans="1:35" ht="85.5">
      <c r="A8" s="397"/>
      <c r="B8" s="398"/>
      <c r="C8" s="172" t="s">
        <v>256</v>
      </c>
      <c r="D8" s="165" t="s">
        <v>249</v>
      </c>
      <c r="E8" s="172" t="s">
        <v>221</v>
      </c>
      <c r="F8" s="143">
        <v>0.7</v>
      </c>
      <c r="G8" s="377"/>
      <c r="H8" s="136" t="s">
        <v>849</v>
      </c>
      <c r="I8" s="379"/>
      <c r="J8" s="172" t="s">
        <v>148</v>
      </c>
      <c r="K8" s="172" t="s">
        <v>251</v>
      </c>
      <c r="L8" s="142">
        <v>43101</v>
      </c>
      <c r="M8" s="137">
        <v>43465</v>
      </c>
      <c r="N8" s="139" t="s">
        <v>535</v>
      </c>
      <c r="O8" s="139">
        <v>0.7</v>
      </c>
      <c r="P8" s="139" t="s">
        <v>535</v>
      </c>
      <c r="Q8" s="139">
        <v>0.7</v>
      </c>
      <c r="R8" s="139" t="s">
        <v>520</v>
      </c>
      <c r="S8" s="144" t="s">
        <v>516</v>
      </c>
      <c r="T8" s="144" t="s">
        <v>521</v>
      </c>
      <c r="U8" s="138">
        <v>0.92</v>
      </c>
      <c r="V8" s="382"/>
      <c r="W8" s="144" t="s">
        <v>858</v>
      </c>
      <c r="X8" s="144" t="s">
        <v>521</v>
      </c>
      <c r="Y8" s="139" t="s">
        <v>535</v>
      </c>
      <c r="Z8" s="139" t="s">
        <v>535</v>
      </c>
      <c r="AA8" s="139" t="s">
        <v>1286</v>
      </c>
      <c r="AB8" s="144" t="s">
        <v>521</v>
      </c>
      <c r="AC8" s="138"/>
      <c r="AD8" s="138"/>
      <c r="AE8" s="138"/>
      <c r="AF8" s="138"/>
    </row>
    <row r="9" spans="1:35" ht="128.25">
      <c r="A9" s="397"/>
      <c r="B9" s="398"/>
      <c r="C9" s="391" t="s">
        <v>257</v>
      </c>
      <c r="D9" s="362">
        <v>0.15</v>
      </c>
      <c r="E9" s="136" t="s">
        <v>100</v>
      </c>
      <c r="F9" s="136">
        <v>1</v>
      </c>
      <c r="G9" s="361" t="s">
        <v>1143</v>
      </c>
      <c r="H9" s="136" t="s">
        <v>258</v>
      </c>
      <c r="I9" s="379"/>
      <c r="J9" s="172" t="s">
        <v>148</v>
      </c>
      <c r="K9" s="172" t="s">
        <v>251</v>
      </c>
      <c r="L9" s="142">
        <v>43101</v>
      </c>
      <c r="M9" s="137">
        <v>43190</v>
      </c>
      <c r="N9" s="138">
        <v>1</v>
      </c>
      <c r="O9" s="138">
        <v>0</v>
      </c>
      <c r="P9" s="138">
        <v>0</v>
      </c>
      <c r="Q9" s="138">
        <v>0</v>
      </c>
      <c r="R9" s="138">
        <v>1</v>
      </c>
      <c r="S9" s="139" t="s">
        <v>522</v>
      </c>
      <c r="T9" s="139" t="s">
        <v>515</v>
      </c>
      <c r="U9" s="138" t="s">
        <v>420</v>
      </c>
      <c r="V9" s="382"/>
      <c r="W9" s="139" t="s">
        <v>522</v>
      </c>
      <c r="X9" s="139" t="s">
        <v>515</v>
      </c>
      <c r="Y9" s="138">
        <v>0</v>
      </c>
      <c r="Z9" s="139" t="s">
        <v>1287</v>
      </c>
      <c r="AA9" s="139" t="s">
        <v>522</v>
      </c>
      <c r="AB9" s="139" t="s">
        <v>515</v>
      </c>
      <c r="AC9" s="138"/>
      <c r="AD9" s="138"/>
      <c r="AE9" s="138"/>
      <c r="AF9" s="138"/>
    </row>
    <row r="10" spans="1:35" ht="85.5">
      <c r="A10" s="397"/>
      <c r="B10" s="398"/>
      <c r="C10" s="392"/>
      <c r="D10" s="363"/>
      <c r="E10" s="136" t="s">
        <v>95</v>
      </c>
      <c r="F10" s="173">
        <v>1</v>
      </c>
      <c r="G10" s="361"/>
      <c r="H10" s="136" t="s">
        <v>259</v>
      </c>
      <c r="I10" s="380"/>
      <c r="J10" s="172" t="s">
        <v>148</v>
      </c>
      <c r="K10" s="172" t="s">
        <v>251</v>
      </c>
      <c r="L10" s="142">
        <v>43101</v>
      </c>
      <c r="M10" s="137">
        <v>43465</v>
      </c>
      <c r="N10" s="138">
        <v>0.25</v>
      </c>
      <c r="O10" s="138">
        <v>0.5</v>
      </c>
      <c r="P10" s="138">
        <v>0.75</v>
      </c>
      <c r="Q10" s="138">
        <v>1</v>
      </c>
      <c r="R10" s="138">
        <v>0.25</v>
      </c>
      <c r="S10" s="139" t="s">
        <v>516</v>
      </c>
      <c r="T10" s="139" t="s">
        <v>523</v>
      </c>
      <c r="U10" s="138">
        <v>0.5</v>
      </c>
      <c r="V10" s="383"/>
      <c r="W10" s="139" t="s">
        <v>859</v>
      </c>
      <c r="X10" s="139" t="s">
        <v>523</v>
      </c>
      <c r="Y10" s="138">
        <v>0.75</v>
      </c>
      <c r="Z10" s="138" t="s">
        <v>1288</v>
      </c>
      <c r="AA10" s="139" t="s">
        <v>1289</v>
      </c>
      <c r="AB10" s="139" t="s">
        <v>523</v>
      </c>
      <c r="AC10" s="138"/>
      <c r="AD10" s="138"/>
      <c r="AE10" s="138"/>
      <c r="AF10" s="138"/>
    </row>
    <row r="11" spans="1:35" ht="128.25">
      <c r="A11" s="397"/>
      <c r="B11" s="398"/>
      <c r="C11" s="400" t="s">
        <v>155</v>
      </c>
      <c r="D11" s="362">
        <v>0.15</v>
      </c>
      <c r="E11" s="136" t="s">
        <v>95</v>
      </c>
      <c r="F11" s="136" t="s">
        <v>135</v>
      </c>
      <c r="G11" s="361" t="s">
        <v>1144</v>
      </c>
      <c r="H11" s="136" t="s">
        <v>260</v>
      </c>
      <c r="I11" s="145" t="s">
        <v>1145</v>
      </c>
      <c r="J11" s="172" t="s">
        <v>148</v>
      </c>
      <c r="K11" s="172" t="s">
        <v>251</v>
      </c>
      <c r="L11" s="142">
        <v>43101</v>
      </c>
      <c r="M11" s="137">
        <v>43465</v>
      </c>
      <c r="N11" s="138">
        <v>1</v>
      </c>
      <c r="O11" s="138">
        <v>1</v>
      </c>
      <c r="P11" s="138">
        <v>1</v>
      </c>
      <c r="Q11" s="138">
        <v>1</v>
      </c>
      <c r="R11" s="146">
        <v>1</v>
      </c>
      <c r="S11" s="144" t="s">
        <v>516</v>
      </c>
      <c r="T11" s="144" t="s">
        <v>524</v>
      </c>
      <c r="U11" s="138">
        <v>1</v>
      </c>
      <c r="V11" s="147" t="s">
        <v>1040</v>
      </c>
      <c r="W11" s="139" t="s">
        <v>860</v>
      </c>
      <c r="X11" s="139" t="s">
        <v>861</v>
      </c>
      <c r="Y11" s="138">
        <v>1</v>
      </c>
      <c r="Z11" s="139" t="s">
        <v>1040</v>
      </c>
      <c r="AA11" s="139" t="s">
        <v>860</v>
      </c>
      <c r="AB11" s="139" t="s">
        <v>1290</v>
      </c>
      <c r="AC11" s="138"/>
      <c r="AD11" s="138"/>
      <c r="AE11" s="138"/>
      <c r="AF11" s="138"/>
    </row>
    <row r="12" spans="1:35" ht="114">
      <c r="A12" s="397"/>
      <c r="B12" s="398"/>
      <c r="C12" s="400"/>
      <c r="D12" s="363"/>
      <c r="E12" s="136" t="s">
        <v>95</v>
      </c>
      <c r="F12" s="136" t="s">
        <v>136</v>
      </c>
      <c r="G12" s="361"/>
      <c r="H12" s="136" t="s">
        <v>261</v>
      </c>
      <c r="I12" s="145" t="s">
        <v>690</v>
      </c>
      <c r="J12" s="172" t="s">
        <v>148</v>
      </c>
      <c r="K12" s="172" t="s">
        <v>251</v>
      </c>
      <c r="L12" s="142">
        <v>43101</v>
      </c>
      <c r="M12" s="137">
        <v>43465</v>
      </c>
      <c r="N12" s="138">
        <v>0.25</v>
      </c>
      <c r="O12" s="138">
        <v>0.5</v>
      </c>
      <c r="P12" s="138">
        <v>0.75</v>
      </c>
      <c r="Q12" s="138">
        <v>1</v>
      </c>
      <c r="R12" s="138">
        <v>0.25</v>
      </c>
      <c r="S12" s="139" t="s">
        <v>516</v>
      </c>
      <c r="T12" s="139" t="s">
        <v>525</v>
      </c>
      <c r="U12" s="138">
        <v>0.5</v>
      </c>
      <c r="V12" s="147" t="s">
        <v>1169</v>
      </c>
      <c r="W12" s="139" t="s">
        <v>862</v>
      </c>
      <c r="X12" s="139" t="s">
        <v>863</v>
      </c>
      <c r="Y12" s="138">
        <v>0.75</v>
      </c>
      <c r="Z12" s="139" t="s">
        <v>1291</v>
      </c>
      <c r="AA12" s="139" t="s">
        <v>1292</v>
      </c>
      <c r="AB12" s="139" t="s">
        <v>1293</v>
      </c>
      <c r="AC12" s="138"/>
      <c r="AD12" s="138"/>
      <c r="AE12" s="138"/>
      <c r="AF12" s="138"/>
      <c r="AI12" s="148"/>
    </row>
    <row r="13" spans="1:35" ht="114.75">
      <c r="A13" s="397"/>
      <c r="B13" s="398"/>
      <c r="C13" s="173" t="s">
        <v>262</v>
      </c>
      <c r="D13" s="149">
        <v>0.15</v>
      </c>
      <c r="E13" s="136" t="s">
        <v>95</v>
      </c>
      <c r="F13" s="173">
        <v>1</v>
      </c>
      <c r="G13" s="165" t="s">
        <v>1146</v>
      </c>
      <c r="H13" s="136" t="s">
        <v>282</v>
      </c>
      <c r="I13" s="167" t="s">
        <v>691</v>
      </c>
      <c r="J13" s="172" t="s">
        <v>148</v>
      </c>
      <c r="K13" s="172" t="s">
        <v>251</v>
      </c>
      <c r="L13" s="142">
        <v>43101</v>
      </c>
      <c r="M13" s="137">
        <v>43465</v>
      </c>
      <c r="N13" s="138">
        <v>0.25</v>
      </c>
      <c r="O13" s="138">
        <v>0.5</v>
      </c>
      <c r="P13" s="138">
        <v>0.75</v>
      </c>
      <c r="Q13" s="138">
        <v>1</v>
      </c>
      <c r="R13" s="138">
        <v>0.25</v>
      </c>
      <c r="S13" s="139" t="s">
        <v>516</v>
      </c>
      <c r="T13" s="139" t="s">
        <v>526</v>
      </c>
      <c r="U13" s="138">
        <v>0.5</v>
      </c>
      <c r="V13" s="147" t="s">
        <v>1170</v>
      </c>
      <c r="W13" s="139" t="s">
        <v>516</v>
      </c>
      <c r="X13" s="139" t="s">
        <v>864</v>
      </c>
      <c r="Y13" s="138">
        <v>0.75</v>
      </c>
      <c r="Z13" s="139" t="s">
        <v>1294</v>
      </c>
      <c r="AA13" s="139" t="s">
        <v>516</v>
      </c>
      <c r="AB13" s="139" t="s">
        <v>864</v>
      </c>
      <c r="AC13" s="138"/>
      <c r="AD13" s="138"/>
      <c r="AE13" s="138"/>
      <c r="AF13" s="138"/>
      <c r="AI13" s="150"/>
    </row>
    <row r="14" spans="1:35" ht="99.75">
      <c r="A14" s="397"/>
      <c r="B14" s="398"/>
      <c r="C14" s="391" t="s">
        <v>281</v>
      </c>
      <c r="D14" s="362">
        <v>0.05</v>
      </c>
      <c r="E14" s="364" t="s">
        <v>95</v>
      </c>
      <c r="F14" s="366">
        <v>0.8</v>
      </c>
      <c r="G14" s="368" t="s">
        <v>1147</v>
      </c>
      <c r="H14" s="136" t="s">
        <v>417</v>
      </c>
      <c r="I14" s="373" t="s">
        <v>692</v>
      </c>
      <c r="J14" s="172" t="s">
        <v>148</v>
      </c>
      <c r="K14" s="172" t="s">
        <v>251</v>
      </c>
      <c r="L14" s="142">
        <v>43101</v>
      </c>
      <c r="M14" s="137">
        <v>43465</v>
      </c>
      <c r="N14" s="138">
        <v>0.25</v>
      </c>
      <c r="O14" s="138">
        <v>0.5</v>
      </c>
      <c r="P14" s="138">
        <v>0.75</v>
      </c>
      <c r="Q14" s="138">
        <v>1</v>
      </c>
      <c r="R14" s="138">
        <v>0.25</v>
      </c>
      <c r="S14" s="139" t="s">
        <v>516</v>
      </c>
      <c r="T14" s="139" t="s">
        <v>527</v>
      </c>
      <c r="U14" s="138">
        <v>0.5</v>
      </c>
      <c r="V14" s="147" t="s">
        <v>1041</v>
      </c>
      <c r="W14" s="139" t="s">
        <v>865</v>
      </c>
      <c r="X14" s="139" t="s">
        <v>866</v>
      </c>
      <c r="Y14" s="138">
        <v>0.75</v>
      </c>
      <c r="Z14" s="139" t="s">
        <v>1041</v>
      </c>
      <c r="AA14" s="139" t="s">
        <v>865</v>
      </c>
      <c r="AB14" s="139" t="s">
        <v>866</v>
      </c>
      <c r="AC14" s="138"/>
      <c r="AD14" s="138"/>
      <c r="AE14" s="138"/>
      <c r="AF14" s="138"/>
      <c r="AI14" s="150"/>
    </row>
    <row r="15" spans="1:35" ht="85.5">
      <c r="A15" s="397"/>
      <c r="B15" s="398"/>
      <c r="C15" s="392"/>
      <c r="D15" s="363"/>
      <c r="E15" s="365"/>
      <c r="F15" s="367"/>
      <c r="G15" s="369"/>
      <c r="H15" s="136" t="s">
        <v>418</v>
      </c>
      <c r="I15" s="374"/>
      <c r="J15" s="172" t="s">
        <v>148</v>
      </c>
      <c r="K15" s="172" t="s">
        <v>251</v>
      </c>
      <c r="L15" s="142">
        <v>43101</v>
      </c>
      <c r="M15" s="137">
        <v>43465</v>
      </c>
      <c r="N15" s="138">
        <v>0.25</v>
      </c>
      <c r="O15" s="138">
        <v>0.5</v>
      </c>
      <c r="P15" s="138">
        <v>0.75</v>
      </c>
      <c r="Q15" s="138">
        <v>1</v>
      </c>
      <c r="R15" s="138">
        <v>0.25</v>
      </c>
      <c r="S15" s="139" t="s">
        <v>516</v>
      </c>
      <c r="T15" s="139" t="s">
        <v>528</v>
      </c>
      <c r="U15" s="138">
        <v>0.5</v>
      </c>
      <c r="V15" s="147" t="s">
        <v>1041</v>
      </c>
      <c r="W15" s="139" t="s">
        <v>867</v>
      </c>
      <c r="X15" s="139" t="s">
        <v>868</v>
      </c>
      <c r="Y15" s="138">
        <v>0.75</v>
      </c>
      <c r="Z15" s="139" t="s">
        <v>1041</v>
      </c>
      <c r="AA15" s="139" t="s">
        <v>867</v>
      </c>
      <c r="AB15" s="139" t="s">
        <v>1295</v>
      </c>
      <c r="AC15" s="138"/>
      <c r="AD15" s="138"/>
      <c r="AE15" s="138"/>
      <c r="AF15" s="138"/>
      <c r="AI15" s="148"/>
    </row>
    <row r="16" spans="1:35" ht="156.75">
      <c r="A16" s="397"/>
      <c r="B16" s="398"/>
      <c r="C16" s="172" t="s">
        <v>141</v>
      </c>
      <c r="D16" s="149">
        <v>0.1</v>
      </c>
      <c r="E16" s="136" t="s">
        <v>95</v>
      </c>
      <c r="F16" s="173">
        <v>0.9</v>
      </c>
      <c r="G16" s="165" t="s">
        <v>1148</v>
      </c>
      <c r="H16" s="136" t="s">
        <v>283</v>
      </c>
      <c r="I16" s="167" t="s">
        <v>693</v>
      </c>
      <c r="J16" s="172" t="s">
        <v>148</v>
      </c>
      <c r="K16" s="172" t="s">
        <v>251</v>
      </c>
      <c r="L16" s="142">
        <v>43101</v>
      </c>
      <c r="M16" s="137">
        <v>43465</v>
      </c>
      <c r="N16" s="138">
        <v>0.25</v>
      </c>
      <c r="O16" s="138">
        <v>0.5</v>
      </c>
      <c r="P16" s="138">
        <v>0.75</v>
      </c>
      <c r="Q16" s="138">
        <v>1</v>
      </c>
      <c r="R16" s="146">
        <v>0.25</v>
      </c>
      <c r="S16" s="144" t="s">
        <v>529</v>
      </c>
      <c r="T16" s="144" t="s">
        <v>530</v>
      </c>
      <c r="U16" s="138">
        <v>0.5</v>
      </c>
      <c r="V16" s="147" t="s">
        <v>1042</v>
      </c>
      <c r="W16" s="139" t="s">
        <v>869</v>
      </c>
      <c r="X16" s="139" t="s">
        <v>870</v>
      </c>
      <c r="Y16" s="138">
        <v>0.75</v>
      </c>
      <c r="Z16" s="139" t="s">
        <v>1042</v>
      </c>
      <c r="AA16" s="139" t="s">
        <v>1296</v>
      </c>
      <c r="AB16" s="139" t="s">
        <v>1297</v>
      </c>
      <c r="AC16" s="138"/>
      <c r="AD16" s="138"/>
      <c r="AE16" s="138"/>
      <c r="AF16" s="138"/>
      <c r="AI16" s="148"/>
    </row>
    <row r="17" spans="1:35" ht="71.25">
      <c r="A17" s="397"/>
      <c r="B17" s="398" t="s">
        <v>87</v>
      </c>
      <c r="C17" s="399" t="s">
        <v>142</v>
      </c>
      <c r="D17" s="362">
        <v>0.1</v>
      </c>
      <c r="E17" s="136" t="s">
        <v>100</v>
      </c>
      <c r="F17" s="136">
        <v>1</v>
      </c>
      <c r="G17" s="361" t="s">
        <v>1149</v>
      </c>
      <c r="H17" s="136" t="s">
        <v>743</v>
      </c>
      <c r="I17" s="151" t="s">
        <v>694</v>
      </c>
      <c r="J17" s="172" t="s">
        <v>148</v>
      </c>
      <c r="K17" s="172" t="s">
        <v>251</v>
      </c>
      <c r="L17" s="142">
        <v>43101</v>
      </c>
      <c r="M17" s="137">
        <v>43464</v>
      </c>
      <c r="N17" s="138">
        <v>1</v>
      </c>
      <c r="O17" s="138">
        <v>1</v>
      </c>
      <c r="P17" s="138">
        <v>1</v>
      </c>
      <c r="Q17" s="138">
        <v>1</v>
      </c>
      <c r="R17" s="146">
        <v>1</v>
      </c>
      <c r="S17" s="389" t="s">
        <v>531</v>
      </c>
      <c r="T17" s="389" t="s">
        <v>530</v>
      </c>
      <c r="U17" s="138">
        <v>1</v>
      </c>
      <c r="V17" s="147" t="s">
        <v>1041</v>
      </c>
      <c r="W17" s="139" t="s">
        <v>871</v>
      </c>
      <c r="X17" s="139" t="s">
        <v>872</v>
      </c>
      <c r="Y17" s="138">
        <v>1</v>
      </c>
      <c r="Z17" s="139" t="s">
        <v>1041</v>
      </c>
      <c r="AA17" s="139" t="s">
        <v>871</v>
      </c>
      <c r="AB17" s="139" t="s">
        <v>872</v>
      </c>
      <c r="AC17" s="138"/>
      <c r="AD17" s="138"/>
      <c r="AE17" s="138"/>
      <c r="AF17" s="138"/>
      <c r="AI17" s="148"/>
    </row>
    <row r="18" spans="1:35" ht="99.75">
      <c r="A18" s="397"/>
      <c r="B18" s="398"/>
      <c r="C18" s="399"/>
      <c r="D18" s="363"/>
      <c r="E18" s="136" t="s">
        <v>95</v>
      </c>
      <c r="F18" s="173">
        <v>1</v>
      </c>
      <c r="G18" s="361"/>
      <c r="H18" s="136" t="s">
        <v>263</v>
      </c>
      <c r="I18" s="151" t="s">
        <v>1150</v>
      </c>
      <c r="J18" s="172" t="s">
        <v>148</v>
      </c>
      <c r="K18" s="172" t="s">
        <v>251</v>
      </c>
      <c r="L18" s="142">
        <v>43101</v>
      </c>
      <c r="M18" s="137">
        <v>43465</v>
      </c>
      <c r="N18" s="138">
        <v>0.25</v>
      </c>
      <c r="O18" s="138">
        <v>0.5</v>
      </c>
      <c r="P18" s="138">
        <v>0.75</v>
      </c>
      <c r="Q18" s="138">
        <v>1</v>
      </c>
      <c r="R18" s="146">
        <v>0.25</v>
      </c>
      <c r="S18" s="390"/>
      <c r="T18" s="390"/>
      <c r="U18" s="138">
        <v>0.5</v>
      </c>
      <c r="V18" s="147" t="s">
        <v>1043</v>
      </c>
      <c r="W18" s="139" t="s">
        <v>873</v>
      </c>
      <c r="X18" s="139" t="s">
        <v>874</v>
      </c>
      <c r="Y18" s="138">
        <v>0.83</v>
      </c>
      <c r="Z18" s="139" t="s">
        <v>1298</v>
      </c>
      <c r="AA18" s="139" t="s">
        <v>1299</v>
      </c>
      <c r="AB18" s="139" t="s">
        <v>874</v>
      </c>
      <c r="AC18" s="138"/>
      <c r="AD18" s="138"/>
      <c r="AE18" s="138"/>
      <c r="AF18" s="138"/>
    </row>
    <row r="19" spans="1:35" ht="185.25">
      <c r="A19" s="397"/>
      <c r="B19" s="398" t="s">
        <v>215</v>
      </c>
      <c r="C19" s="172" t="s">
        <v>284</v>
      </c>
      <c r="D19" s="165" t="s">
        <v>249</v>
      </c>
      <c r="E19" s="172" t="s">
        <v>100</v>
      </c>
      <c r="F19" s="136">
        <v>90</v>
      </c>
      <c r="G19" s="165" t="s">
        <v>219</v>
      </c>
      <c r="H19" s="170" t="s">
        <v>264</v>
      </c>
      <c r="I19" s="170" t="s">
        <v>220</v>
      </c>
      <c r="J19" s="172" t="s">
        <v>148</v>
      </c>
      <c r="K19" s="172" t="s">
        <v>251</v>
      </c>
      <c r="L19" s="142">
        <v>43132</v>
      </c>
      <c r="M19" s="137">
        <v>43455</v>
      </c>
      <c r="N19" s="138">
        <v>1</v>
      </c>
      <c r="O19" s="138">
        <v>0.98</v>
      </c>
      <c r="P19" s="138">
        <v>1</v>
      </c>
      <c r="Q19" s="138">
        <v>1</v>
      </c>
      <c r="R19" s="138">
        <v>1</v>
      </c>
      <c r="S19" s="139" t="s">
        <v>532</v>
      </c>
      <c r="T19" s="139" t="s">
        <v>533</v>
      </c>
      <c r="U19" s="138">
        <v>1</v>
      </c>
      <c r="V19" s="138">
        <v>0.98</v>
      </c>
      <c r="W19" s="139" t="s">
        <v>875</v>
      </c>
      <c r="X19" s="139" t="s">
        <v>876</v>
      </c>
      <c r="Y19" s="138">
        <v>1</v>
      </c>
      <c r="Z19" s="138">
        <v>1</v>
      </c>
      <c r="AA19" s="139" t="s">
        <v>1300</v>
      </c>
      <c r="AB19" s="139" t="s">
        <v>1301</v>
      </c>
      <c r="AC19" s="138"/>
      <c r="AD19" s="138"/>
      <c r="AE19" s="138"/>
      <c r="AF19" s="138"/>
    </row>
    <row r="20" spans="1:35" ht="99.75">
      <c r="A20" s="369"/>
      <c r="B20" s="398"/>
      <c r="C20" s="172" t="s">
        <v>218</v>
      </c>
      <c r="D20" s="165" t="s">
        <v>249</v>
      </c>
      <c r="E20" s="172" t="s">
        <v>222</v>
      </c>
      <c r="F20" s="173">
        <v>1</v>
      </c>
      <c r="G20" s="165" t="s">
        <v>219</v>
      </c>
      <c r="H20" s="170" t="s">
        <v>285</v>
      </c>
      <c r="I20" s="170" t="s">
        <v>221</v>
      </c>
      <c r="J20" s="172" t="s">
        <v>148</v>
      </c>
      <c r="K20" s="172" t="s">
        <v>251</v>
      </c>
      <c r="L20" s="142">
        <v>43101</v>
      </c>
      <c r="M20" s="137">
        <v>43465</v>
      </c>
      <c r="N20" s="138">
        <v>0.25</v>
      </c>
      <c r="O20" s="138">
        <v>0.5</v>
      </c>
      <c r="P20" s="138">
        <v>0.75</v>
      </c>
      <c r="Q20" s="138">
        <v>1</v>
      </c>
      <c r="R20" s="138">
        <v>0.25</v>
      </c>
      <c r="S20" s="139" t="s">
        <v>516</v>
      </c>
      <c r="T20" s="139" t="s">
        <v>534</v>
      </c>
      <c r="U20" s="138">
        <v>0.5</v>
      </c>
      <c r="V20" s="147" t="s">
        <v>1041</v>
      </c>
      <c r="W20" s="139" t="s">
        <v>877</v>
      </c>
      <c r="X20" s="139" t="s">
        <v>878</v>
      </c>
      <c r="Y20" s="138">
        <v>0.75</v>
      </c>
      <c r="Z20" s="139" t="s">
        <v>516</v>
      </c>
      <c r="AA20" s="139" t="s">
        <v>1302</v>
      </c>
      <c r="AB20" s="139" t="s">
        <v>534</v>
      </c>
      <c r="AC20" s="138"/>
      <c r="AD20" s="138"/>
      <c r="AE20" s="138"/>
      <c r="AF20" s="138"/>
    </row>
  </sheetData>
  <mergeCells count="49">
    <mergeCell ref="A4:A20"/>
    <mergeCell ref="B4:B16"/>
    <mergeCell ref="C4:C5"/>
    <mergeCell ref="D4:D5"/>
    <mergeCell ref="B17:B18"/>
    <mergeCell ref="C17:C18"/>
    <mergeCell ref="D17:D18"/>
    <mergeCell ref="C14:C15"/>
    <mergeCell ref="B19:B20"/>
    <mergeCell ref="C11:C12"/>
    <mergeCell ref="H1:H3"/>
    <mergeCell ref="J1:J3"/>
    <mergeCell ref="K1:K3"/>
    <mergeCell ref="A1:A3"/>
    <mergeCell ref="B1:B3"/>
    <mergeCell ref="C1:C3"/>
    <mergeCell ref="D1:D3"/>
    <mergeCell ref="S17:S18"/>
    <mergeCell ref="C9:C10"/>
    <mergeCell ref="T17:T18"/>
    <mergeCell ref="R2:T2"/>
    <mergeCell ref="D14:D15"/>
    <mergeCell ref="E1:E3"/>
    <mergeCell ref="D6:D7"/>
    <mergeCell ref="D9:D10"/>
    <mergeCell ref="G4:G5"/>
    <mergeCell ref="C6:C7"/>
    <mergeCell ref="L1:M1"/>
    <mergeCell ref="N1:Q1"/>
    <mergeCell ref="L2:L3"/>
    <mergeCell ref="M2:M3"/>
    <mergeCell ref="F1:F3"/>
    <mergeCell ref="G1:G3"/>
    <mergeCell ref="U2:X2"/>
    <mergeCell ref="G17:G18"/>
    <mergeCell ref="D11:D12"/>
    <mergeCell ref="G11:G12"/>
    <mergeCell ref="G9:G10"/>
    <mergeCell ref="E14:E15"/>
    <mergeCell ref="F14:F15"/>
    <mergeCell ref="G14:G15"/>
    <mergeCell ref="I1:I3"/>
    <mergeCell ref="I14:I15"/>
    <mergeCell ref="G6:G8"/>
    <mergeCell ref="I6:I10"/>
    <mergeCell ref="V6:V10"/>
    <mergeCell ref="R1:AF1"/>
    <mergeCell ref="Y2:AB2"/>
    <mergeCell ref="AC2:AF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6" tint="0.39997558519241921"/>
  </sheetPr>
  <dimension ref="A1:AF62"/>
  <sheetViews>
    <sheetView zoomScale="70" zoomScaleNormal="70" workbookViewId="0">
      <selection activeCell="B61" sqref="B61"/>
    </sheetView>
  </sheetViews>
  <sheetFormatPr baseColWidth="10" defaultColWidth="16.140625" defaultRowHeight="14.25"/>
  <cols>
    <col min="1" max="1" width="19.28515625" style="27" customWidth="1"/>
    <col min="2" max="2" width="20.85546875" style="27" customWidth="1"/>
    <col min="3" max="3" width="20.28515625" style="27" customWidth="1"/>
    <col min="4" max="6" width="16.140625" style="27" customWidth="1"/>
    <col min="7" max="7" width="22.85546875" style="27" customWidth="1"/>
    <col min="8" max="8" width="40.140625" style="27" customWidth="1"/>
    <col min="9" max="9" width="23.7109375" style="239" customWidth="1"/>
    <col min="10" max="10" width="16.140625" style="27"/>
    <col min="11" max="17" width="16.140625" style="27" customWidth="1"/>
    <col min="18" max="20" width="16.140625" style="134" hidden="1" customWidth="1"/>
    <col min="21" max="21" width="16.140625" style="27" hidden="1" customWidth="1"/>
    <col min="22" max="22" width="19.7109375" style="27" hidden="1" customWidth="1"/>
    <col min="23" max="23" width="20.140625" style="27" hidden="1" customWidth="1"/>
    <col min="24" max="32" width="16.140625" style="27" hidden="1" customWidth="1"/>
    <col min="33" max="16384" width="16.140625" style="27"/>
  </cols>
  <sheetData>
    <row r="1" spans="1:32" ht="31.5" customHeight="1">
      <c r="A1" s="393" t="s">
        <v>94</v>
      </c>
      <c r="B1" s="393" t="s">
        <v>74</v>
      </c>
      <c r="C1" s="393" t="s">
        <v>65</v>
      </c>
      <c r="D1" s="393" t="s">
        <v>683</v>
      </c>
      <c r="E1" s="393" t="s">
        <v>67</v>
      </c>
      <c r="F1" s="393" t="s">
        <v>68</v>
      </c>
      <c r="G1" s="393" t="s">
        <v>69</v>
      </c>
      <c r="H1" s="370" t="s">
        <v>250</v>
      </c>
      <c r="I1" s="370" t="s">
        <v>741</v>
      </c>
      <c r="J1" s="393" t="s">
        <v>145</v>
      </c>
      <c r="K1" s="393" t="s">
        <v>147</v>
      </c>
      <c r="L1" s="395" t="s">
        <v>70</v>
      </c>
      <c r="M1" s="395"/>
      <c r="N1" s="395" t="s">
        <v>79</v>
      </c>
      <c r="O1" s="395"/>
      <c r="P1" s="395"/>
      <c r="Q1" s="395"/>
      <c r="R1" s="436" t="s">
        <v>386</v>
      </c>
      <c r="S1" s="437"/>
      <c r="T1" s="437"/>
      <c r="U1" s="437"/>
      <c r="V1" s="437"/>
      <c r="W1" s="437"/>
      <c r="X1" s="437"/>
      <c r="Y1" s="437"/>
      <c r="Z1" s="437"/>
      <c r="AA1" s="437"/>
      <c r="AB1" s="437"/>
      <c r="AC1" s="437"/>
      <c r="AD1" s="437"/>
      <c r="AE1" s="437"/>
      <c r="AF1" s="437"/>
    </row>
    <row r="2" spans="1:32" ht="15.75" customHeight="1">
      <c r="A2" s="393"/>
      <c r="B2" s="393"/>
      <c r="C2" s="393"/>
      <c r="D2" s="393"/>
      <c r="E2" s="393"/>
      <c r="F2" s="393"/>
      <c r="G2" s="393"/>
      <c r="H2" s="371"/>
      <c r="I2" s="371"/>
      <c r="J2" s="393"/>
      <c r="K2" s="393"/>
      <c r="L2" s="396" t="s">
        <v>71</v>
      </c>
      <c r="M2" s="396" t="s">
        <v>72</v>
      </c>
      <c r="N2" s="13" t="s">
        <v>75</v>
      </c>
      <c r="O2" s="13" t="s">
        <v>76</v>
      </c>
      <c r="P2" s="13" t="s">
        <v>77</v>
      </c>
      <c r="Q2" s="13" t="s">
        <v>78</v>
      </c>
      <c r="R2" s="358" t="s">
        <v>75</v>
      </c>
      <c r="S2" s="359"/>
      <c r="T2" s="360"/>
      <c r="U2" s="358" t="s">
        <v>76</v>
      </c>
      <c r="V2" s="359"/>
      <c r="W2" s="359"/>
      <c r="X2" s="360"/>
      <c r="Y2" s="386" t="s">
        <v>77</v>
      </c>
      <c r="Z2" s="387"/>
      <c r="AA2" s="387"/>
      <c r="AB2" s="388"/>
      <c r="AC2" s="358" t="s">
        <v>78</v>
      </c>
      <c r="AD2" s="359"/>
      <c r="AE2" s="359"/>
      <c r="AF2" s="360"/>
    </row>
    <row r="3" spans="1:32" ht="48" customHeight="1">
      <c r="A3" s="393"/>
      <c r="B3" s="393"/>
      <c r="C3" s="393"/>
      <c r="D3" s="393"/>
      <c r="E3" s="393"/>
      <c r="F3" s="393"/>
      <c r="G3" s="393"/>
      <c r="H3" s="372"/>
      <c r="I3" s="372"/>
      <c r="J3" s="393"/>
      <c r="K3" s="393"/>
      <c r="L3" s="396"/>
      <c r="M3" s="396"/>
      <c r="N3" s="171" t="s">
        <v>64</v>
      </c>
      <c r="O3" s="171" t="s">
        <v>64</v>
      </c>
      <c r="P3" s="171" t="s">
        <v>64</v>
      </c>
      <c r="Q3" s="171" t="s">
        <v>64</v>
      </c>
      <c r="R3" s="135" t="s">
        <v>387</v>
      </c>
      <c r="S3" s="135" t="s">
        <v>388</v>
      </c>
      <c r="T3" s="135" t="s">
        <v>389</v>
      </c>
      <c r="U3" s="135" t="s">
        <v>696</v>
      </c>
      <c r="V3" s="135" t="s">
        <v>724</v>
      </c>
      <c r="W3" s="135" t="s">
        <v>708</v>
      </c>
      <c r="X3" s="135" t="s">
        <v>389</v>
      </c>
      <c r="Y3" s="292" t="s">
        <v>696</v>
      </c>
      <c r="Z3" s="292" t="s">
        <v>724</v>
      </c>
      <c r="AA3" s="292" t="s">
        <v>708</v>
      </c>
      <c r="AB3" s="292" t="s">
        <v>389</v>
      </c>
      <c r="AC3" s="135" t="s">
        <v>696</v>
      </c>
      <c r="AD3" s="135" t="s">
        <v>724</v>
      </c>
      <c r="AE3" s="135" t="s">
        <v>708</v>
      </c>
      <c r="AF3" s="135" t="s">
        <v>389</v>
      </c>
    </row>
    <row r="4" spans="1:32" ht="409.5">
      <c r="A4" s="361" t="s">
        <v>16</v>
      </c>
      <c r="B4" s="398" t="s">
        <v>80</v>
      </c>
      <c r="C4" s="182" t="s">
        <v>248</v>
      </c>
      <c r="D4" s="449">
        <v>0.2</v>
      </c>
      <c r="E4" s="364" t="s">
        <v>95</v>
      </c>
      <c r="F4" s="433">
        <v>1</v>
      </c>
      <c r="G4" s="136" t="s">
        <v>744</v>
      </c>
      <c r="H4" s="136" t="s">
        <v>744</v>
      </c>
      <c r="I4" s="167" t="s">
        <v>697</v>
      </c>
      <c r="J4" s="136" t="s">
        <v>146</v>
      </c>
      <c r="K4" s="136" t="s">
        <v>312</v>
      </c>
      <c r="L4" s="142">
        <v>43101</v>
      </c>
      <c r="M4" s="137" t="s">
        <v>96</v>
      </c>
      <c r="N4" s="173">
        <v>0.15</v>
      </c>
      <c r="O4" s="173">
        <v>0.3</v>
      </c>
      <c r="P4" s="173">
        <v>0.7</v>
      </c>
      <c r="Q4" s="173">
        <v>1</v>
      </c>
      <c r="R4" s="138">
        <v>0.15</v>
      </c>
      <c r="S4" s="139" t="s">
        <v>567</v>
      </c>
      <c r="T4" s="139" t="s">
        <v>566</v>
      </c>
      <c r="U4" s="139">
        <v>0.3</v>
      </c>
      <c r="V4" s="139" t="s">
        <v>1185</v>
      </c>
      <c r="W4" s="139" t="s">
        <v>1151</v>
      </c>
      <c r="X4" s="139" t="s">
        <v>566</v>
      </c>
      <c r="Y4" s="147">
        <v>0.82</v>
      </c>
      <c r="Z4" s="139" t="s">
        <v>1484</v>
      </c>
      <c r="AA4" s="147" t="s">
        <v>1485</v>
      </c>
      <c r="AB4" s="147" t="s">
        <v>566</v>
      </c>
      <c r="AC4" s="139"/>
      <c r="AD4" s="139"/>
      <c r="AE4" s="139"/>
      <c r="AF4" s="139"/>
    </row>
    <row r="5" spans="1:32" ht="356.25">
      <c r="A5" s="361"/>
      <c r="B5" s="398"/>
      <c r="C5" s="182" t="s">
        <v>245</v>
      </c>
      <c r="D5" s="450"/>
      <c r="E5" s="419"/>
      <c r="F5" s="434"/>
      <c r="G5" s="136" t="s">
        <v>745</v>
      </c>
      <c r="H5" s="136" t="s">
        <v>745</v>
      </c>
      <c r="I5" s="167" t="s">
        <v>702</v>
      </c>
      <c r="J5" s="136" t="s">
        <v>146</v>
      </c>
      <c r="K5" s="136" t="s">
        <v>329</v>
      </c>
      <c r="L5" s="420">
        <v>43101</v>
      </c>
      <c r="M5" s="423" t="s">
        <v>96</v>
      </c>
      <c r="N5" s="166">
        <v>0.15</v>
      </c>
      <c r="O5" s="166">
        <v>0.3</v>
      </c>
      <c r="P5" s="166">
        <v>0.7</v>
      </c>
      <c r="Q5" s="166">
        <v>1</v>
      </c>
      <c r="R5" s="138">
        <v>0.15</v>
      </c>
      <c r="S5" s="139" t="s">
        <v>568</v>
      </c>
      <c r="T5" s="139" t="s">
        <v>563</v>
      </c>
      <c r="U5" s="139">
        <v>0.3</v>
      </c>
      <c r="V5" s="139" t="s">
        <v>1053</v>
      </c>
      <c r="W5" s="147" t="s">
        <v>1136</v>
      </c>
      <c r="X5" s="147" t="s">
        <v>1054</v>
      </c>
      <c r="Y5" s="147">
        <f>63/74</f>
        <v>0.85135135135135132</v>
      </c>
      <c r="Z5" s="139" t="s">
        <v>1425</v>
      </c>
      <c r="AA5" s="147" t="s">
        <v>1426</v>
      </c>
      <c r="AB5" s="147" t="s">
        <v>1054</v>
      </c>
      <c r="AC5" s="139"/>
      <c r="AD5" s="139"/>
      <c r="AE5" s="139"/>
      <c r="AF5" s="139"/>
    </row>
    <row r="6" spans="1:32" ht="242.25">
      <c r="A6" s="361"/>
      <c r="B6" s="398"/>
      <c r="C6" s="457" t="s">
        <v>246</v>
      </c>
      <c r="D6" s="450"/>
      <c r="E6" s="419"/>
      <c r="F6" s="434"/>
      <c r="G6" s="364" t="s">
        <v>746</v>
      </c>
      <c r="H6" s="136" t="s">
        <v>300</v>
      </c>
      <c r="I6" s="190" t="s">
        <v>837</v>
      </c>
      <c r="J6" s="364" t="s">
        <v>151</v>
      </c>
      <c r="K6" s="136" t="s">
        <v>303</v>
      </c>
      <c r="L6" s="421"/>
      <c r="M6" s="424"/>
      <c r="N6" s="166">
        <v>1</v>
      </c>
      <c r="O6" s="166">
        <v>0</v>
      </c>
      <c r="P6" s="166">
        <v>0</v>
      </c>
      <c r="Q6" s="166">
        <v>0</v>
      </c>
      <c r="R6" s="139">
        <v>1</v>
      </c>
      <c r="S6" s="139" t="s">
        <v>622</v>
      </c>
      <c r="T6" s="139" t="s">
        <v>623</v>
      </c>
      <c r="U6" s="404" t="s">
        <v>1060</v>
      </c>
      <c r="V6" s="405"/>
      <c r="W6" s="405"/>
      <c r="X6" s="406"/>
      <c r="Y6" s="139">
        <f>1/1</f>
        <v>1</v>
      </c>
      <c r="Z6" s="139" t="s">
        <v>837</v>
      </c>
      <c r="AA6" s="139" t="s">
        <v>1340</v>
      </c>
      <c r="AB6" s="139" t="s">
        <v>623</v>
      </c>
      <c r="AC6" s="139"/>
      <c r="AD6" s="139"/>
      <c r="AE6" s="139"/>
      <c r="AF6" s="139"/>
    </row>
    <row r="7" spans="1:32" ht="409.5">
      <c r="A7" s="361"/>
      <c r="B7" s="398"/>
      <c r="C7" s="458"/>
      <c r="D7" s="450"/>
      <c r="E7" s="419"/>
      <c r="F7" s="434"/>
      <c r="G7" s="419"/>
      <c r="H7" s="136" t="s">
        <v>301</v>
      </c>
      <c r="I7" s="190" t="s">
        <v>838</v>
      </c>
      <c r="J7" s="419"/>
      <c r="K7" s="136" t="s">
        <v>303</v>
      </c>
      <c r="L7" s="422"/>
      <c r="M7" s="425"/>
      <c r="N7" s="166">
        <v>0.15</v>
      </c>
      <c r="O7" s="166">
        <v>0.3</v>
      </c>
      <c r="P7" s="166">
        <v>0.7</v>
      </c>
      <c r="Q7" s="166">
        <v>1</v>
      </c>
      <c r="R7" s="139">
        <v>0.15</v>
      </c>
      <c r="S7" s="139" t="s">
        <v>624</v>
      </c>
      <c r="T7" s="139" t="s">
        <v>625</v>
      </c>
      <c r="U7" s="139">
        <f>1/5</f>
        <v>0.2</v>
      </c>
      <c r="V7" s="139" t="s">
        <v>1061</v>
      </c>
      <c r="W7" s="147" t="s">
        <v>1055</v>
      </c>
      <c r="X7" s="147" t="s">
        <v>1056</v>
      </c>
      <c r="Y7" s="139">
        <f>4/5</f>
        <v>0.8</v>
      </c>
      <c r="Z7" s="139" t="s">
        <v>1341</v>
      </c>
      <c r="AA7" s="139" t="s">
        <v>1342</v>
      </c>
      <c r="AB7" s="139" t="s">
        <v>1345</v>
      </c>
      <c r="AC7" s="139"/>
      <c r="AD7" s="139"/>
      <c r="AE7" s="139"/>
      <c r="AF7" s="139"/>
    </row>
    <row r="8" spans="1:32" ht="370.5">
      <c r="A8" s="361"/>
      <c r="B8" s="398"/>
      <c r="C8" s="459"/>
      <c r="D8" s="450"/>
      <c r="E8" s="419"/>
      <c r="F8" s="434"/>
      <c r="G8" s="365"/>
      <c r="H8" s="136" t="s">
        <v>302</v>
      </c>
      <c r="I8" s="190" t="s">
        <v>839</v>
      </c>
      <c r="J8" s="365"/>
      <c r="K8" s="136" t="s">
        <v>303</v>
      </c>
      <c r="L8" s="142">
        <v>43101</v>
      </c>
      <c r="M8" s="137" t="s">
        <v>96</v>
      </c>
      <c r="N8" s="173">
        <v>0.15</v>
      </c>
      <c r="O8" s="173">
        <v>0.3</v>
      </c>
      <c r="P8" s="173">
        <v>0.7</v>
      </c>
      <c r="Q8" s="173">
        <v>1</v>
      </c>
      <c r="R8" s="139">
        <v>0.15</v>
      </c>
      <c r="S8" s="139" t="s">
        <v>626</v>
      </c>
      <c r="T8" s="139" t="s">
        <v>627</v>
      </c>
      <c r="U8" s="139">
        <f>15%+15%</f>
        <v>0.3</v>
      </c>
      <c r="V8" s="139" t="s">
        <v>1057</v>
      </c>
      <c r="W8" s="147" t="s">
        <v>1058</v>
      </c>
      <c r="X8" s="147" t="s">
        <v>1059</v>
      </c>
      <c r="Y8" s="139">
        <f>15%+15%+40%</f>
        <v>0.7</v>
      </c>
      <c r="Z8" s="139" t="s">
        <v>1343</v>
      </c>
      <c r="AA8" s="139" t="s">
        <v>1344</v>
      </c>
      <c r="AB8" s="139" t="s">
        <v>1346</v>
      </c>
    </row>
    <row r="9" spans="1:32" ht="399">
      <c r="A9" s="361"/>
      <c r="B9" s="398"/>
      <c r="C9" s="182" t="s">
        <v>247</v>
      </c>
      <c r="D9" s="450"/>
      <c r="E9" s="419"/>
      <c r="F9" s="434"/>
      <c r="G9" s="136" t="s">
        <v>747</v>
      </c>
      <c r="H9" s="136" t="s">
        <v>747</v>
      </c>
      <c r="I9" s="190" t="s">
        <v>845</v>
      </c>
      <c r="J9" s="136" t="s">
        <v>153</v>
      </c>
      <c r="K9" s="136" t="s">
        <v>312</v>
      </c>
      <c r="L9" s="142">
        <v>43101</v>
      </c>
      <c r="M9" s="137" t="s">
        <v>96</v>
      </c>
      <c r="N9" s="173">
        <v>0.15</v>
      </c>
      <c r="O9" s="173">
        <v>0.3</v>
      </c>
      <c r="P9" s="173">
        <v>0.7</v>
      </c>
      <c r="Q9" s="173">
        <v>1</v>
      </c>
      <c r="R9" s="139">
        <v>0.15</v>
      </c>
      <c r="S9" s="139" t="s">
        <v>608</v>
      </c>
      <c r="T9" s="139" t="s">
        <v>609</v>
      </c>
      <c r="U9" s="191">
        <v>0.84</v>
      </c>
      <c r="V9" s="191" t="s">
        <v>996</v>
      </c>
      <c r="W9" s="192" t="s">
        <v>994</v>
      </c>
      <c r="X9" s="193" t="s">
        <v>995</v>
      </c>
      <c r="Y9" s="330">
        <v>0.85329999999999995</v>
      </c>
      <c r="Z9" s="139" t="s">
        <v>1444</v>
      </c>
      <c r="AA9" s="139" t="s">
        <v>1445</v>
      </c>
      <c r="AB9" s="315" t="s">
        <v>995</v>
      </c>
    </row>
    <row r="10" spans="1:32" ht="409.5">
      <c r="A10" s="361"/>
      <c r="B10" s="398"/>
      <c r="C10" s="182" t="s">
        <v>416</v>
      </c>
      <c r="D10" s="451"/>
      <c r="E10" s="365"/>
      <c r="F10" s="435"/>
      <c r="G10" s="136" t="s">
        <v>748</v>
      </c>
      <c r="H10" s="136" t="s">
        <v>748</v>
      </c>
      <c r="I10" s="136" t="s">
        <v>703</v>
      </c>
      <c r="J10" s="136" t="s">
        <v>146</v>
      </c>
      <c r="K10" s="136" t="s">
        <v>312</v>
      </c>
      <c r="L10" s="142">
        <v>43101</v>
      </c>
      <c r="M10" s="137" t="s">
        <v>96</v>
      </c>
      <c r="N10" s="173">
        <v>0.25</v>
      </c>
      <c r="O10" s="173">
        <v>0.5</v>
      </c>
      <c r="P10" s="173">
        <v>0.75</v>
      </c>
      <c r="Q10" s="173">
        <v>1</v>
      </c>
      <c r="R10" s="138">
        <v>0.5</v>
      </c>
      <c r="S10" s="139" t="s">
        <v>564</v>
      </c>
      <c r="T10" s="139" t="s">
        <v>565</v>
      </c>
      <c r="U10" s="147">
        <v>0.9375</v>
      </c>
      <c r="V10" s="144" t="s">
        <v>955</v>
      </c>
      <c r="W10" s="139" t="s">
        <v>957</v>
      </c>
      <c r="X10" s="139" t="s">
        <v>956</v>
      </c>
      <c r="Y10" s="147">
        <f>15/17</f>
        <v>0.88235294117647056</v>
      </c>
      <c r="Z10" s="144" t="s">
        <v>1427</v>
      </c>
      <c r="AA10" s="139" t="s">
        <v>1428</v>
      </c>
      <c r="AB10" s="139" t="s">
        <v>956</v>
      </c>
    </row>
    <row r="11" spans="1:32" ht="142.5">
      <c r="A11" s="361"/>
      <c r="B11" s="398"/>
      <c r="C11" s="182" t="s">
        <v>99</v>
      </c>
      <c r="D11" s="194">
        <v>0.05</v>
      </c>
      <c r="E11" s="136" t="s">
        <v>100</v>
      </c>
      <c r="F11" s="136">
        <v>1</v>
      </c>
      <c r="G11" s="165" t="s">
        <v>97</v>
      </c>
      <c r="H11" s="165" t="s">
        <v>97</v>
      </c>
      <c r="I11" s="145" t="s">
        <v>698</v>
      </c>
      <c r="J11" s="136" t="s">
        <v>148</v>
      </c>
      <c r="K11" s="136" t="s">
        <v>312</v>
      </c>
      <c r="L11" s="142">
        <v>43191</v>
      </c>
      <c r="M11" s="137" t="s">
        <v>96</v>
      </c>
      <c r="N11" s="173">
        <v>0</v>
      </c>
      <c r="O11" s="173">
        <v>0.3</v>
      </c>
      <c r="P11" s="173">
        <v>0.6</v>
      </c>
      <c r="Q11" s="173">
        <v>1</v>
      </c>
      <c r="R11" s="146">
        <v>0</v>
      </c>
      <c r="S11" s="139" t="s">
        <v>513</v>
      </c>
      <c r="T11" s="138"/>
      <c r="U11" s="139">
        <v>0.3</v>
      </c>
      <c r="V11" s="155" t="s">
        <v>881</v>
      </c>
      <c r="W11" s="139" t="s">
        <v>879</v>
      </c>
      <c r="X11" s="139" t="s">
        <v>880</v>
      </c>
      <c r="Y11" s="139">
        <v>0.6</v>
      </c>
      <c r="Z11" s="139" t="s">
        <v>1466</v>
      </c>
      <c r="AA11" s="139" t="s">
        <v>1467</v>
      </c>
      <c r="AB11" s="139" t="s">
        <v>880</v>
      </c>
    </row>
    <row r="12" spans="1:32" ht="409.5">
      <c r="A12" s="361"/>
      <c r="B12" s="398"/>
      <c r="C12" s="182" t="s">
        <v>749</v>
      </c>
      <c r="D12" s="194">
        <v>0.08</v>
      </c>
      <c r="E12" s="136" t="s">
        <v>100</v>
      </c>
      <c r="F12" s="136">
        <v>1</v>
      </c>
      <c r="G12" s="29" t="s">
        <v>750</v>
      </c>
      <c r="H12" s="136" t="s">
        <v>326</v>
      </c>
      <c r="I12" s="145" t="s">
        <v>751</v>
      </c>
      <c r="J12" s="136" t="s">
        <v>146</v>
      </c>
      <c r="K12" s="136" t="s">
        <v>312</v>
      </c>
      <c r="L12" s="142">
        <v>43191</v>
      </c>
      <c r="M12" s="137">
        <v>43464</v>
      </c>
      <c r="N12" s="173">
        <v>0</v>
      </c>
      <c r="O12" s="173">
        <v>0.5</v>
      </c>
      <c r="P12" s="173">
        <v>1</v>
      </c>
      <c r="Q12" s="173">
        <v>1</v>
      </c>
      <c r="R12" s="146">
        <v>0</v>
      </c>
      <c r="S12" s="139" t="s">
        <v>513</v>
      </c>
      <c r="T12" s="138"/>
      <c r="U12" s="139">
        <v>0.5</v>
      </c>
      <c r="V12" s="139" t="s">
        <v>1024</v>
      </c>
      <c r="W12" s="139" t="s">
        <v>1025</v>
      </c>
      <c r="X12" s="195" t="s">
        <v>1026</v>
      </c>
      <c r="Y12" s="139">
        <v>0.6</v>
      </c>
      <c r="Z12" s="139" t="s">
        <v>1422</v>
      </c>
      <c r="AA12" s="139" t="s">
        <v>1423</v>
      </c>
      <c r="AB12" s="315" t="s">
        <v>1424</v>
      </c>
    </row>
    <row r="13" spans="1:32" ht="409.5">
      <c r="A13" s="361"/>
      <c r="B13" s="398"/>
      <c r="C13" s="173" t="s">
        <v>101</v>
      </c>
      <c r="D13" s="194">
        <v>0.05</v>
      </c>
      <c r="E13" s="136" t="s">
        <v>100</v>
      </c>
      <c r="F13" s="136">
        <v>1</v>
      </c>
      <c r="G13" s="8" t="s">
        <v>699</v>
      </c>
      <c r="H13" s="136" t="str">
        <f>+G13</f>
        <v xml:space="preserve">Realizar un diagnóstico de capacidades y entornos institucionales. </v>
      </c>
      <c r="I13" s="145" t="s">
        <v>704</v>
      </c>
      <c r="J13" s="136" t="s">
        <v>726</v>
      </c>
      <c r="K13" s="136" t="s">
        <v>312</v>
      </c>
      <c r="L13" s="142">
        <v>43101</v>
      </c>
      <c r="M13" s="137" t="s">
        <v>96</v>
      </c>
      <c r="N13" s="173">
        <v>0.25</v>
      </c>
      <c r="O13" s="173">
        <v>0.5</v>
      </c>
      <c r="P13" s="173">
        <v>0.75</v>
      </c>
      <c r="Q13" s="173">
        <v>1</v>
      </c>
      <c r="R13" s="139">
        <v>0.15</v>
      </c>
      <c r="S13" s="139" t="s">
        <v>628</v>
      </c>
      <c r="T13" s="139" t="s">
        <v>607</v>
      </c>
      <c r="U13" s="139">
        <v>0.5</v>
      </c>
      <c r="V13" s="196" t="s">
        <v>1062</v>
      </c>
      <c r="W13" s="139" t="s">
        <v>1152</v>
      </c>
      <c r="X13" s="139" t="s">
        <v>1153</v>
      </c>
      <c r="Y13" s="139">
        <v>0.75</v>
      </c>
      <c r="Z13" s="196" t="s">
        <v>1429</v>
      </c>
      <c r="AA13" s="139" t="s">
        <v>1430</v>
      </c>
      <c r="AB13" s="315" t="s">
        <v>1431</v>
      </c>
    </row>
    <row r="14" spans="1:32" ht="156.75">
      <c r="A14" s="361"/>
      <c r="B14" s="398" t="s">
        <v>81</v>
      </c>
      <c r="C14" s="173" t="s">
        <v>286</v>
      </c>
      <c r="D14" s="194">
        <v>0.1</v>
      </c>
      <c r="E14" s="136" t="s">
        <v>95</v>
      </c>
      <c r="F14" s="155">
        <v>1</v>
      </c>
      <c r="G14" s="136" t="s">
        <v>752</v>
      </c>
      <c r="H14" s="136" t="s">
        <v>327</v>
      </c>
      <c r="I14" s="145" t="s">
        <v>700</v>
      </c>
      <c r="J14" s="136" t="s">
        <v>328</v>
      </c>
      <c r="K14" s="136" t="s">
        <v>312</v>
      </c>
      <c r="L14" s="142">
        <v>43101</v>
      </c>
      <c r="M14" s="137" t="s">
        <v>96</v>
      </c>
      <c r="N14" s="173">
        <v>0</v>
      </c>
      <c r="O14" s="173">
        <v>0</v>
      </c>
      <c r="P14" s="173">
        <v>0.4</v>
      </c>
      <c r="Q14" s="173">
        <v>1</v>
      </c>
      <c r="R14" s="146" t="s">
        <v>306</v>
      </c>
      <c r="S14" s="139" t="s">
        <v>753</v>
      </c>
      <c r="T14" s="138" t="s">
        <v>306</v>
      </c>
      <c r="U14" s="139" t="s">
        <v>306</v>
      </c>
      <c r="V14" s="197" t="s">
        <v>306</v>
      </c>
      <c r="W14" s="139" t="s">
        <v>904</v>
      </c>
      <c r="X14" s="138" t="s">
        <v>306</v>
      </c>
      <c r="Y14" s="144">
        <f>+P14</f>
        <v>0.4</v>
      </c>
      <c r="Z14" s="144">
        <f>+Y14</f>
        <v>0.4</v>
      </c>
      <c r="AA14" s="144" t="s">
        <v>1446</v>
      </c>
      <c r="AB14" s="144" t="s">
        <v>1447</v>
      </c>
    </row>
    <row r="15" spans="1:32" ht="299.25">
      <c r="A15" s="361"/>
      <c r="B15" s="398"/>
      <c r="C15" s="173" t="s">
        <v>102</v>
      </c>
      <c r="D15" s="194">
        <v>0.05</v>
      </c>
      <c r="E15" s="136" t="s">
        <v>95</v>
      </c>
      <c r="F15" s="155">
        <v>1</v>
      </c>
      <c r="G15" s="136" t="s">
        <v>98</v>
      </c>
      <c r="H15" s="136" t="s">
        <v>98</v>
      </c>
      <c r="I15" s="145" t="s">
        <v>701</v>
      </c>
      <c r="J15" s="318" t="s">
        <v>150</v>
      </c>
      <c r="K15" s="136" t="s">
        <v>303</v>
      </c>
      <c r="L15" s="142">
        <v>43101</v>
      </c>
      <c r="M15" s="137" t="s">
        <v>96</v>
      </c>
      <c r="N15" s="173">
        <v>1</v>
      </c>
      <c r="O15" s="173">
        <v>1</v>
      </c>
      <c r="P15" s="173">
        <v>1</v>
      </c>
      <c r="Q15" s="173">
        <v>1</v>
      </c>
      <c r="R15" s="198">
        <v>0.90369999999999995</v>
      </c>
      <c r="S15" s="139" t="s">
        <v>489</v>
      </c>
      <c r="T15" s="139" t="s">
        <v>490</v>
      </c>
      <c r="U15" s="139">
        <v>0.96</v>
      </c>
      <c r="V15" s="139" t="s">
        <v>1044</v>
      </c>
      <c r="W15" s="139" t="s">
        <v>905</v>
      </c>
      <c r="X15" s="139" t="s">
        <v>490</v>
      </c>
      <c r="Y15" s="331">
        <f>(2002+4444+4030)/(2002+4444+4444)</f>
        <v>0.9619834710743802</v>
      </c>
      <c r="Z15" s="332" t="s">
        <v>1451</v>
      </c>
      <c r="AA15" s="125" t="s">
        <v>1452</v>
      </c>
      <c r="AB15" s="139" t="s">
        <v>1453</v>
      </c>
    </row>
    <row r="16" spans="1:32" ht="150">
      <c r="A16" s="361"/>
      <c r="B16" s="398"/>
      <c r="C16" s="173" t="s">
        <v>103</v>
      </c>
      <c r="D16" s="194">
        <v>0.05</v>
      </c>
      <c r="E16" s="136" t="s">
        <v>95</v>
      </c>
      <c r="F16" s="155">
        <v>1</v>
      </c>
      <c r="G16" s="136" t="s">
        <v>754</v>
      </c>
      <c r="H16" s="136" t="s">
        <v>755</v>
      </c>
      <c r="I16" s="145" t="s">
        <v>756</v>
      </c>
      <c r="J16" s="136" t="s">
        <v>146</v>
      </c>
      <c r="K16" s="136" t="s">
        <v>303</v>
      </c>
      <c r="L16" s="142">
        <v>43282</v>
      </c>
      <c r="M16" s="137">
        <v>43464</v>
      </c>
      <c r="N16" s="173">
        <v>0</v>
      </c>
      <c r="O16" s="173">
        <v>0</v>
      </c>
      <c r="P16" s="173">
        <v>0.4</v>
      </c>
      <c r="Q16" s="173">
        <v>1</v>
      </c>
      <c r="R16" s="146" t="s">
        <v>306</v>
      </c>
      <c r="S16" s="139" t="s">
        <v>757</v>
      </c>
      <c r="T16" s="138" t="s">
        <v>306</v>
      </c>
      <c r="U16" s="404" t="s">
        <v>958</v>
      </c>
      <c r="V16" s="405"/>
      <c r="W16" s="405"/>
      <c r="X16" s="406"/>
      <c r="Y16" s="144">
        <f>+P16</f>
        <v>0.4</v>
      </c>
      <c r="Z16" s="329" t="s">
        <v>1448</v>
      </c>
      <c r="AA16" s="144" t="s">
        <v>1449</v>
      </c>
      <c r="AB16" s="144" t="s">
        <v>1450</v>
      </c>
    </row>
    <row r="17" spans="1:28" ht="228">
      <c r="A17" s="368" t="s">
        <v>324</v>
      </c>
      <c r="B17" s="199" t="s">
        <v>265</v>
      </c>
      <c r="C17" s="200" t="s">
        <v>266</v>
      </c>
      <c r="D17" s="201">
        <v>7.0000000000000007E-2</v>
      </c>
      <c r="E17" s="202" t="s">
        <v>95</v>
      </c>
      <c r="F17" s="144">
        <v>1</v>
      </c>
      <c r="G17" s="203" t="s">
        <v>817</v>
      </c>
      <c r="H17" s="203" t="s">
        <v>816</v>
      </c>
      <c r="I17" s="203" t="s">
        <v>818</v>
      </c>
      <c r="J17" s="136" t="s">
        <v>146</v>
      </c>
      <c r="K17" s="136" t="s">
        <v>303</v>
      </c>
      <c r="L17" s="204">
        <v>43101</v>
      </c>
      <c r="M17" s="204">
        <v>43462</v>
      </c>
      <c r="N17" s="205">
        <v>0.2</v>
      </c>
      <c r="O17" s="205">
        <v>0.4</v>
      </c>
      <c r="P17" s="205">
        <v>0.7</v>
      </c>
      <c r="Q17" s="205">
        <v>1</v>
      </c>
      <c r="R17" s="146">
        <f>+N17</f>
        <v>0.2</v>
      </c>
      <c r="S17" s="139" t="s">
        <v>620</v>
      </c>
      <c r="T17" s="139" t="s">
        <v>621</v>
      </c>
      <c r="U17" s="139">
        <v>1</v>
      </c>
      <c r="V17" s="203" t="s">
        <v>818</v>
      </c>
      <c r="W17" s="139" t="s">
        <v>1176</v>
      </c>
      <c r="X17" s="139" t="s">
        <v>1177</v>
      </c>
      <c r="Y17" s="144">
        <f>+P17</f>
        <v>0.7</v>
      </c>
      <c r="Z17" s="329">
        <v>1</v>
      </c>
      <c r="AA17" s="144" t="s">
        <v>1442</v>
      </c>
      <c r="AB17" s="144" t="s">
        <v>1443</v>
      </c>
    </row>
    <row r="18" spans="1:28" ht="409.5">
      <c r="A18" s="397"/>
      <c r="B18" s="188" t="s">
        <v>406</v>
      </c>
      <c r="C18" s="188" t="s">
        <v>739</v>
      </c>
      <c r="D18" s="205">
        <v>7.0000000000000007E-2</v>
      </c>
      <c r="E18" s="202" t="s">
        <v>95</v>
      </c>
      <c r="F18" s="144">
        <v>0.8</v>
      </c>
      <c r="G18" s="188" t="s">
        <v>267</v>
      </c>
      <c r="H18" s="188" t="s">
        <v>1187</v>
      </c>
      <c r="I18" s="206" t="s">
        <v>812</v>
      </c>
      <c r="J18" s="136" t="s">
        <v>325</v>
      </c>
      <c r="K18" s="136" t="s">
        <v>303</v>
      </c>
      <c r="L18" s="204">
        <v>43101</v>
      </c>
      <c r="M18" s="204">
        <v>43465</v>
      </c>
      <c r="N18" s="205">
        <v>0.15</v>
      </c>
      <c r="O18" s="205">
        <v>0.5</v>
      </c>
      <c r="P18" s="205">
        <v>0.65</v>
      </c>
      <c r="Q18" s="205">
        <v>0.8</v>
      </c>
      <c r="R18" s="144">
        <v>0.2</v>
      </c>
      <c r="S18" s="139" t="s">
        <v>510</v>
      </c>
      <c r="T18" s="139" t="s">
        <v>511</v>
      </c>
      <c r="U18" s="139">
        <v>0.65</v>
      </c>
      <c r="V18" s="144" t="s">
        <v>1045</v>
      </c>
      <c r="W18" s="139" t="s">
        <v>890</v>
      </c>
      <c r="X18" s="139" t="s">
        <v>891</v>
      </c>
      <c r="Y18" s="139">
        <v>0.7</v>
      </c>
      <c r="Z18" s="139" t="s">
        <v>1238</v>
      </c>
      <c r="AA18" s="139" t="s">
        <v>1239</v>
      </c>
      <c r="AB18" s="139" t="s">
        <v>1240</v>
      </c>
    </row>
    <row r="19" spans="1:28" ht="285">
      <c r="A19" s="397"/>
      <c r="B19" s="443" t="s">
        <v>268</v>
      </c>
      <c r="C19" s="401" t="s">
        <v>269</v>
      </c>
      <c r="D19" s="460">
        <v>7.0000000000000007E-2</v>
      </c>
      <c r="E19" s="202" t="s">
        <v>95</v>
      </c>
      <c r="F19" s="144">
        <v>1</v>
      </c>
      <c r="G19" s="207" t="s">
        <v>270</v>
      </c>
      <c r="H19" s="188" t="s">
        <v>270</v>
      </c>
      <c r="I19" s="208" t="s">
        <v>787</v>
      </c>
      <c r="J19" s="426" t="s">
        <v>366</v>
      </c>
      <c r="K19" s="136" t="s">
        <v>303</v>
      </c>
      <c r="L19" s="204">
        <v>43101</v>
      </c>
      <c r="M19" s="204">
        <v>43465</v>
      </c>
      <c r="N19" s="205">
        <v>0.25</v>
      </c>
      <c r="O19" s="205">
        <v>0.5</v>
      </c>
      <c r="P19" s="205">
        <v>0.75</v>
      </c>
      <c r="Q19" s="205">
        <v>1</v>
      </c>
      <c r="R19" s="178">
        <v>0.25</v>
      </c>
      <c r="S19" s="209" t="s">
        <v>544</v>
      </c>
      <c r="T19" s="209" t="s">
        <v>545</v>
      </c>
      <c r="U19" s="144">
        <v>0.5</v>
      </c>
      <c r="V19" s="144" t="s">
        <v>927</v>
      </c>
      <c r="W19" s="144" t="s">
        <v>924</v>
      </c>
      <c r="X19" s="210" t="s">
        <v>545</v>
      </c>
      <c r="Y19" s="144">
        <v>0.75</v>
      </c>
      <c r="Z19" s="144" t="s">
        <v>1245</v>
      </c>
      <c r="AA19" s="295" t="s">
        <v>1246</v>
      </c>
      <c r="AB19" s="296" t="s">
        <v>1247</v>
      </c>
    </row>
    <row r="20" spans="1:28" ht="342">
      <c r="A20" s="397"/>
      <c r="B20" s="444"/>
      <c r="C20" s="403"/>
      <c r="D20" s="461"/>
      <c r="E20" s="202" t="s">
        <v>95</v>
      </c>
      <c r="F20" s="144">
        <v>1</v>
      </c>
      <c r="G20" s="207" t="s">
        <v>271</v>
      </c>
      <c r="H20" s="188" t="s">
        <v>271</v>
      </c>
      <c r="I20" s="188" t="s">
        <v>788</v>
      </c>
      <c r="J20" s="427"/>
      <c r="K20" s="136" t="s">
        <v>303</v>
      </c>
      <c r="L20" s="204">
        <v>43101</v>
      </c>
      <c r="M20" s="204">
        <v>43465</v>
      </c>
      <c r="N20" s="205">
        <v>0.25</v>
      </c>
      <c r="O20" s="205">
        <v>0.5</v>
      </c>
      <c r="P20" s="205">
        <v>0.75</v>
      </c>
      <c r="Q20" s="205">
        <v>1</v>
      </c>
      <c r="R20" s="205">
        <v>0.25</v>
      </c>
      <c r="S20" s="209" t="s">
        <v>546</v>
      </c>
      <c r="T20" s="209" t="s">
        <v>547</v>
      </c>
      <c r="U20" s="144">
        <v>0.5</v>
      </c>
      <c r="V20" s="144" t="s">
        <v>959</v>
      </c>
      <c r="W20" s="144" t="s">
        <v>925</v>
      </c>
      <c r="X20" s="144" t="s">
        <v>926</v>
      </c>
      <c r="Y20" s="144">
        <v>0.75</v>
      </c>
      <c r="Z20" s="144" t="s">
        <v>1248</v>
      </c>
      <c r="AA20" s="47" t="s">
        <v>1249</v>
      </c>
      <c r="AB20" s="289" t="s">
        <v>1250</v>
      </c>
    </row>
    <row r="21" spans="1:28" ht="409.5">
      <c r="A21" s="397"/>
      <c r="B21" s="401" t="s">
        <v>272</v>
      </c>
      <c r="C21" s="401" t="s">
        <v>273</v>
      </c>
      <c r="D21" s="455">
        <v>7.0000000000000007E-2</v>
      </c>
      <c r="E21" s="401" t="s">
        <v>95</v>
      </c>
      <c r="F21" s="438">
        <v>1</v>
      </c>
      <c r="G21" s="207" t="s">
        <v>274</v>
      </c>
      <c r="H21" s="188" t="s">
        <v>407</v>
      </c>
      <c r="I21" s="208" t="s">
        <v>819</v>
      </c>
      <c r="J21" s="368" t="s">
        <v>341</v>
      </c>
      <c r="K21" s="368" t="s">
        <v>303</v>
      </c>
      <c r="L21" s="428">
        <v>43101</v>
      </c>
      <c r="M21" s="428">
        <v>43465</v>
      </c>
      <c r="N21" s="211">
        <v>0.25</v>
      </c>
      <c r="O21" s="211">
        <v>0.55000000000000004</v>
      </c>
      <c r="P21" s="211">
        <v>0.85</v>
      </c>
      <c r="Q21" s="211">
        <v>1</v>
      </c>
      <c r="R21" s="211">
        <v>0.25</v>
      </c>
      <c r="S21" s="212" t="s">
        <v>850</v>
      </c>
      <c r="T21" s="213" t="s">
        <v>557</v>
      </c>
      <c r="U21" s="144">
        <v>0.55000000000000004</v>
      </c>
      <c r="V21" s="144" t="s">
        <v>1046</v>
      </c>
      <c r="W21" s="144" t="s">
        <v>909</v>
      </c>
      <c r="X21" s="214" t="s">
        <v>910</v>
      </c>
      <c r="Y21" s="139">
        <v>0.85</v>
      </c>
      <c r="Z21" s="139" t="s">
        <v>1333</v>
      </c>
      <c r="AA21" s="139" t="s">
        <v>1332</v>
      </c>
      <c r="AB21" s="139" t="s">
        <v>1334</v>
      </c>
    </row>
    <row r="22" spans="1:28" ht="409.5">
      <c r="A22" s="397"/>
      <c r="B22" s="402"/>
      <c r="C22" s="402"/>
      <c r="D22" s="456"/>
      <c r="E22" s="402"/>
      <c r="F22" s="447"/>
      <c r="G22" s="207" t="s">
        <v>408</v>
      </c>
      <c r="H22" s="188" t="s">
        <v>409</v>
      </c>
      <c r="I22" s="208" t="s">
        <v>819</v>
      </c>
      <c r="J22" s="397"/>
      <c r="K22" s="397"/>
      <c r="L22" s="429"/>
      <c r="M22" s="429"/>
      <c r="N22" s="211">
        <v>0.25</v>
      </c>
      <c r="O22" s="211">
        <v>0.55000000000000004</v>
      </c>
      <c r="P22" s="211">
        <v>0.85</v>
      </c>
      <c r="Q22" s="211">
        <v>1</v>
      </c>
      <c r="R22" s="211">
        <v>0.25</v>
      </c>
      <c r="S22" s="215" t="s">
        <v>558</v>
      </c>
      <c r="T22" s="213" t="s">
        <v>559</v>
      </c>
      <c r="U22" s="144">
        <v>0.55000000000000004</v>
      </c>
      <c r="V22" s="144" t="s">
        <v>1047</v>
      </c>
      <c r="W22" s="144" t="s">
        <v>911</v>
      </c>
      <c r="X22" s="214" t="s">
        <v>912</v>
      </c>
      <c r="Y22" s="139">
        <v>0.55000000000000004</v>
      </c>
      <c r="Z22" s="139" t="s">
        <v>1047</v>
      </c>
      <c r="AA22" s="438" t="s">
        <v>1335</v>
      </c>
      <c r="AB22" s="139" t="s">
        <v>520</v>
      </c>
    </row>
    <row r="23" spans="1:28" ht="409.5">
      <c r="A23" s="397"/>
      <c r="B23" s="402"/>
      <c r="C23" s="402"/>
      <c r="D23" s="456"/>
      <c r="E23" s="402"/>
      <c r="F23" s="447"/>
      <c r="G23" s="208" t="s">
        <v>410</v>
      </c>
      <c r="H23" s="208" t="s">
        <v>411</v>
      </c>
      <c r="I23" s="208" t="s">
        <v>819</v>
      </c>
      <c r="J23" s="397"/>
      <c r="K23" s="397"/>
      <c r="L23" s="429"/>
      <c r="M23" s="429"/>
      <c r="N23" s="216">
        <v>0.25</v>
      </c>
      <c r="O23" s="216">
        <v>0.55000000000000004</v>
      </c>
      <c r="P23" s="216">
        <v>0.85</v>
      </c>
      <c r="Q23" s="216">
        <v>1</v>
      </c>
      <c r="R23" s="216">
        <v>0.25</v>
      </c>
      <c r="S23" s="217" t="s">
        <v>560</v>
      </c>
      <c r="T23" s="218" t="s">
        <v>569</v>
      </c>
      <c r="U23" s="169">
        <v>0.55000000000000004</v>
      </c>
      <c r="V23" s="144" t="s">
        <v>1048</v>
      </c>
      <c r="W23" s="169" t="s">
        <v>913</v>
      </c>
      <c r="X23" s="219" t="s">
        <v>914</v>
      </c>
      <c r="Y23" s="139">
        <v>0.55000000000000004</v>
      </c>
      <c r="Z23" s="139" t="s">
        <v>1048</v>
      </c>
      <c r="AA23" s="439"/>
      <c r="AB23" s="139" t="s">
        <v>520</v>
      </c>
    </row>
    <row r="24" spans="1:28" ht="409.5">
      <c r="A24" s="397"/>
      <c r="B24" s="220" t="s">
        <v>275</v>
      </c>
      <c r="C24" s="220" t="s">
        <v>276</v>
      </c>
      <c r="D24" s="205">
        <v>7.0000000000000007E-2</v>
      </c>
      <c r="E24" s="202" t="s">
        <v>95</v>
      </c>
      <c r="F24" s="144">
        <v>1</v>
      </c>
      <c r="G24" s="188" t="s">
        <v>277</v>
      </c>
      <c r="H24" s="188" t="s">
        <v>277</v>
      </c>
      <c r="I24" s="221" t="s">
        <v>798</v>
      </c>
      <c r="J24" s="136" t="s">
        <v>799</v>
      </c>
      <c r="K24" s="136" t="s">
        <v>303</v>
      </c>
      <c r="L24" s="204">
        <v>43101</v>
      </c>
      <c r="M24" s="204">
        <v>43465</v>
      </c>
      <c r="N24" s="205">
        <v>0.25</v>
      </c>
      <c r="O24" s="205">
        <v>0.5</v>
      </c>
      <c r="P24" s="205">
        <v>0.75</v>
      </c>
      <c r="Q24" s="205">
        <v>1</v>
      </c>
      <c r="R24" s="136">
        <v>0</v>
      </c>
      <c r="S24" s="173" t="s">
        <v>629</v>
      </c>
      <c r="T24" s="136" t="s">
        <v>249</v>
      </c>
      <c r="U24" s="169">
        <f>1/5</f>
        <v>0.2</v>
      </c>
      <c r="V24" s="144" t="s">
        <v>1065</v>
      </c>
      <c r="W24" s="169" t="s">
        <v>1063</v>
      </c>
      <c r="X24" s="219" t="s">
        <v>1064</v>
      </c>
      <c r="Y24" s="139">
        <v>0.6</v>
      </c>
      <c r="Z24" s="139" t="s">
        <v>1347</v>
      </c>
      <c r="AA24" s="139" t="s">
        <v>1348</v>
      </c>
      <c r="AB24" s="139" t="s">
        <v>1349</v>
      </c>
    </row>
    <row r="25" spans="1:28" ht="409.5">
      <c r="A25" s="397"/>
      <c r="B25" s="199" t="s">
        <v>278</v>
      </c>
      <c r="C25" s="188" t="s">
        <v>841</v>
      </c>
      <c r="D25" s="455">
        <v>7.0000000000000007E-2</v>
      </c>
      <c r="E25" s="188" t="s">
        <v>95</v>
      </c>
      <c r="F25" s="139">
        <v>1</v>
      </c>
      <c r="G25" s="222" t="s">
        <v>279</v>
      </c>
      <c r="H25" s="222" t="s">
        <v>279</v>
      </c>
      <c r="I25" s="222" t="s">
        <v>841</v>
      </c>
      <c r="J25" s="204" t="s">
        <v>146</v>
      </c>
      <c r="K25" s="136" t="s">
        <v>303</v>
      </c>
      <c r="L25" s="204">
        <v>43101</v>
      </c>
      <c r="M25" s="204">
        <v>43465</v>
      </c>
      <c r="N25" s="205">
        <v>0.05</v>
      </c>
      <c r="O25" s="205">
        <v>0.5</v>
      </c>
      <c r="P25" s="205">
        <v>0.75</v>
      </c>
      <c r="Q25" s="205">
        <v>1</v>
      </c>
      <c r="R25" s="223">
        <v>0.05</v>
      </c>
      <c r="S25" s="152" t="s">
        <v>561</v>
      </c>
      <c r="T25" s="224" t="s">
        <v>562</v>
      </c>
      <c r="U25" s="139">
        <v>0.5</v>
      </c>
      <c r="V25" s="139" t="s">
        <v>1173</v>
      </c>
      <c r="W25" s="139" t="s">
        <v>1174</v>
      </c>
      <c r="X25" s="195" t="s">
        <v>1175</v>
      </c>
      <c r="Y25" s="139">
        <v>0.75</v>
      </c>
      <c r="Z25" s="139" t="s">
        <v>1420</v>
      </c>
      <c r="AA25" s="139" t="s">
        <v>1421</v>
      </c>
      <c r="AB25" s="195" t="s">
        <v>1175</v>
      </c>
    </row>
    <row r="26" spans="1:28" ht="409.5">
      <c r="A26" s="397"/>
      <c r="B26" s="199" t="s">
        <v>342</v>
      </c>
      <c r="C26" s="188" t="s">
        <v>795</v>
      </c>
      <c r="D26" s="456"/>
      <c r="E26" s="188" t="s">
        <v>95</v>
      </c>
      <c r="F26" s="139">
        <v>0.25</v>
      </c>
      <c r="G26" s="222" t="s">
        <v>343</v>
      </c>
      <c r="H26" s="222" t="s">
        <v>503</v>
      </c>
      <c r="I26" s="222" t="s">
        <v>794</v>
      </c>
      <c r="J26" s="204" t="s">
        <v>344</v>
      </c>
      <c r="K26" s="136" t="s">
        <v>312</v>
      </c>
      <c r="L26" s="204">
        <v>43101</v>
      </c>
      <c r="M26" s="204">
        <v>43465</v>
      </c>
      <c r="N26" s="205">
        <v>0.66</v>
      </c>
      <c r="O26" s="205">
        <v>0.71</v>
      </c>
      <c r="P26" s="205">
        <v>0.8</v>
      </c>
      <c r="Q26" s="205">
        <v>1</v>
      </c>
      <c r="R26" s="205">
        <v>0.66</v>
      </c>
      <c r="S26" s="225" t="s">
        <v>504</v>
      </c>
      <c r="T26" s="226" t="s">
        <v>505</v>
      </c>
      <c r="U26" s="139">
        <v>0.71</v>
      </c>
      <c r="V26" s="139" t="s">
        <v>900</v>
      </c>
      <c r="W26" s="139" t="s">
        <v>899</v>
      </c>
      <c r="X26" s="195" t="s">
        <v>505</v>
      </c>
      <c r="Y26" s="139">
        <v>0.8</v>
      </c>
      <c r="Z26" s="139" t="s">
        <v>1468</v>
      </c>
      <c r="AA26" s="125" t="s">
        <v>1469</v>
      </c>
      <c r="AB26" s="139" t="s">
        <v>1470</v>
      </c>
    </row>
    <row r="27" spans="1:28" ht="409.5">
      <c r="A27" s="368" t="s">
        <v>345</v>
      </c>
      <c r="B27" s="188" t="s">
        <v>350</v>
      </c>
      <c r="C27" s="188" t="s">
        <v>352</v>
      </c>
      <c r="D27" s="452" t="s">
        <v>249</v>
      </c>
      <c r="E27" s="401" t="s">
        <v>95</v>
      </c>
      <c r="F27" s="438" t="s">
        <v>351</v>
      </c>
      <c r="G27" s="188" t="s">
        <v>360</v>
      </c>
      <c r="H27" s="188" t="s">
        <v>405</v>
      </c>
      <c r="I27" s="208" t="s">
        <v>930</v>
      </c>
      <c r="J27" s="227" t="s">
        <v>366</v>
      </c>
      <c r="K27" s="136" t="s">
        <v>303</v>
      </c>
      <c r="L27" s="204">
        <v>43101</v>
      </c>
      <c r="M27" s="204">
        <v>43465</v>
      </c>
      <c r="N27" s="205">
        <v>0.25</v>
      </c>
      <c r="O27" s="205">
        <v>0.5</v>
      </c>
      <c r="P27" s="205">
        <v>0.75</v>
      </c>
      <c r="Q27" s="205">
        <v>1</v>
      </c>
      <c r="R27" s="205">
        <v>0.3</v>
      </c>
      <c r="S27" s="136" t="s">
        <v>595</v>
      </c>
      <c r="T27" s="136" t="s">
        <v>596</v>
      </c>
      <c r="U27" s="144">
        <v>0.6</v>
      </c>
      <c r="V27" s="144" t="s">
        <v>928</v>
      </c>
      <c r="W27" s="144" t="s">
        <v>929</v>
      </c>
      <c r="X27" s="228" t="s">
        <v>931</v>
      </c>
      <c r="Y27" s="144">
        <v>0.8</v>
      </c>
      <c r="Z27" s="144" t="s">
        <v>1251</v>
      </c>
      <c r="AA27" s="47" t="s">
        <v>1252</v>
      </c>
      <c r="AB27" s="47" t="s">
        <v>1253</v>
      </c>
    </row>
    <row r="28" spans="1:28" ht="409.5">
      <c r="A28" s="397"/>
      <c r="B28" s="445" t="s">
        <v>346</v>
      </c>
      <c r="C28" s="188" t="s">
        <v>353</v>
      </c>
      <c r="D28" s="453"/>
      <c r="E28" s="402"/>
      <c r="F28" s="447"/>
      <c r="G28" s="188" t="s">
        <v>361</v>
      </c>
      <c r="H28" s="188" t="s">
        <v>361</v>
      </c>
      <c r="I28" s="208" t="s">
        <v>784</v>
      </c>
      <c r="J28" s="227" t="s">
        <v>367</v>
      </c>
      <c r="K28" s="136" t="s">
        <v>303</v>
      </c>
      <c r="L28" s="204">
        <v>43101</v>
      </c>
      <c r="M28" s="204">
        <v>43465</v>
      </c>
      <c r="N28" s="205">
        <v>0.25</v>
      </c>
      <c r="O28" s="205">
        <v>0.5</v>
      </c>
      <c r="P28" s="205">
        <v>0.75</v>
      </c>
      <c r="Q28" s="205">
        <v>1</v>
      </c>
      <c r="R28" s="205">
        <v>0.25</v>
      </c>
      <c r="S28" s="229" t="s">
        <v>1188</v>
      </c>
      <c r="T28" s="230" t="s">
        <v>512</v>
      </c>
      <c r="U28" s="139">
        <v>0.5</v>
      </c>
      <c r="V28" s="139" t="s">
        <v>915</v>
      </c>
      <c r="W28" s="229" t="s">
        <v>1189</v>
      </c>
      <c r="X28" s="229" t="s">
        <v>512</v>
      </c>
      <c r="Y28" s="139">
        <v>0.75</v>
      </c>
      <c r="Z28" s="139" t="s">
        <v>1418</v>
      </c>
      <c r="AA28" s="313" t="s">
        <v>1419</v>
      </c>
      <c r="AB28" s="314" t="s">
        <v>512</v>
      </c>
    </row>
    <row r="29" spans="1:28" ht="409.5">
      <c r="A29" s="397"/>
      <c r="B29" s="446"/>
      <c r="C29" s="188" t="s">
        <v>354</v>
      </c>
      <c r="D29" s="453"/>
      <c r="E29" s="402"/>
      <c r="F29" s="447"/>
      <c r="G29" s="188" t="s">
        <v>362</v>
      </c>
      <c r="H29" s="188" t="s">
        <v>390</v>
      </c>
      <c r="I29" s="231" t="s">
        <v>740</v>
      </c>
      <c r="J29" s="227" t="s">
        <v>325</v>
      </c>
      <c r="K29" s="136" t="s">
        <v>303</v>
      </c>
      <c r="L29" s="204">
        <v>43101</v>
      </c>
      <c r="M29" s="204">
        <v>43465</v>
      </c>
      <c r="N29" s="205">
        <v>0</v>
      </c>
      <c r="O29" s="211">
        <v>0.33300000000000002</v>
      </c>
      <c r="P29" s="211">
        <v>0.66600000000000004</v>
      </c>
      <c r="Q29" s="211">
        <v>1</v>
      </c>
      <c r="R29" s="232">
        <v>0</v>
      </c>
      <c r="S29" s="136" t="s">
        <v>509</v>
      </c>
      <c r="T29" s="136" t="s">
        <v>249</v>
      </c>
      <c r="U29" s="211">
        <v>0.33300000000000002</v>
      </c>
      <c r="V29" s="139" t="s">
        <v>1049</v>
      </c>
      <c r="W29" s="139" t="s">
        <v>892</v>
      </c>
      <c r="X29" s="139" t="s">
        <v>893</v>
      </c>
      <c r="Y29" s="139">
        <v>0.67</v>
      </c>
      <c r="Z29" s="139" t="s">
        <v>1241</v>
      </c>
      <c r="AA29" s="139" t="s">
        <v>1242</v>
      </c>
      <c r="AB29" s="139" t="s">
        <v>893</v>
      </c>
    </row>
    <row r="30" spans="1:28" ht="409.5">
      <c r="A30" s="397"/>
      <c r="B30" s="188" t="s">
        <v>506</v>
      </c>
      <c r="C30" s="188" t="s">
        <v>355</v>
      </c>
      <c r="D30" s="453"/>
      <c r="E30" s="402"/>
      <c r="F30" s="447"/>
      <c r="G30" s="188" t="s">
        <v>363</v>
      </c>
      <c r="H30" s="188" t="s">
        <v>412</v>
      </c>
      <c r="I30" s="208" t="s">
        <v>797</v>
      </c>
      <c r="J30" s="227" t="s">
        <v>344</v>
      </c>
      <c r="K30" s="136" t="s">
        <v>303</v>
      </c>
      <c r="L30" s="204">
        <v>43101</v>
      </c>
      <c r="M30" s="204">
        <v>43465</v>
      </c>
      <c r="N30" s="205">
        <v>0</v>
      </c>
      <c r="O30" s="205">
        <v>0</v>
      </c>
      <c r="P30" s="205">
        <v>0.4</v>
      </c>
      <c r="Q30" s="205">
        <v>1</v>
      </c>
      <c r="R30" s="211">
        <v>0</v>
      </c>
      <c r="S30" s="225" t="s">
        <v>507</v>
      </c>
      <c r="T30" s="225" t="s">
        <v>508</v>
      </c>
      <c r="U30" s="139" t="s">
        <v>420</v>
      </c>
      <c r="V30" s="139" t="s">
        <v>420</v>
      </c>
      <c r="W30" s="233" t="s">
        <v>901</v>
      </c>
      <c r="X30" s="225" t="s">
        <v>508</v>
      </c>
      <c r="Y30" s="139">
        <v>0.41</v>
      </c>
      <c r="Z30" s="139" t="s">
        <v>1471</v>
      </c>
      <c r="AA30" s="139" t="s">
        <v>1472</v>
      </c>
      <c r="AB30" s="139" t="s">
        <v>1473</v>
      </c>
    </row>
    <row r="31" spans="1:28" ht="342">
      <c r="A31" s="397"/>
      <c r="B31" s="445" t="s">
        <v>347</v>
      </c>
      <c r="C31" s="401" t="s">
        <v>404</v>
      </c>
      <c r="D31" s="453"/>
      <c r="E31" s="402"/>
      <c r="F31" s="447"/>
      <c r="G31" s="188" t="s">
        <v>399</v>
      </c>
      <c r="H31" s="188" t="s">
        <v>400</v>
      </c>
      <c r="I31" s="208" t="s">
        <v>793</v>
      </c>
      <c r="J31" s="445" t="s">
        <v>366</v>
      </c>
      <c r="K31" s="175" t="s">
        <v>401</v>
      </c>
      <c r="L31" s="204">
        <v>43205</v>
      </c>
      <c r="M31" s="204">
        <v>43465</v>
      </c>
      <c r="N31" s="205">
        <v>0</v>
      </c>
      <c r="O31" s="205">
        <v>0.5</v>
      </c>
      <c r="P31" s="205">
        <v>0</v>
      </c>
      <c r="Q31" s="205">
        <v>1</v>
      </c>
      <c r="R31" s="138">
        <v>0</v>
      </c>
      <c r="S31" s="139" t="s">
        <v>513</v>
      </c>
      <c r="T31" s="136" t="s">
        <v>420</v>
      </c>
      <c r="U31" s="144">
        <v>0.5</v>
      </c>
      <c r="V31" s="234" t="s">
        <v>932</v>
      </c>
      <c r="W31" s="144" t="s">
        <v>933</v>
      </c>
      <c r="X31" s="144" t="s">
        <v>934</v>
      </c>
      <c r="Y31" s="407" t="s">
        <v>1464</v>
      </c>
      <c r="Z31" s="408"/>
      <c r="AA31" s="408"/>
      <c r="AB31" s="409"/>
    </row>
    <row r="32" spans="1:28" ht="409.5">
      <c r="A32" s="397"/>
      <c r="B32" s="448"/>
      <c r="C32" s="402"/>
      <c r="D32" s="453"/>
      <c r="E32" s="402"/>
      <c r="F32" s="447"/>
      <c r="G32" s="188" t="s">
        <v>391</v>
      </c>
      <c r="H32" s="188" t="s">
        <v>392</v>
      </c>
      <c r="I32" s="208" t="s">
        <v>789</v>
      </c>
      <c r="J32" s="448"/>
      <c r="K32" s="233" t="s">
        <v>402</v>
      </c>
      <c r="L32" s="204">
        <v>43101</v>
      </c>
      <c r="M32" s="204">
        <v>43190</v>
      </c>
      <c r="N32" s="205">
        <v>1</v>
      </c>
      <c r="O32" s="205">
        <v>0</v>
      </c>
      <c r="P32" s="205">
        <v>0</v>
      </c>
      <c r="Q32" s="205">
        <v>0</v>
      </c>
      <c r="R32" s="211">
        <v>1</v>
      </c>
      <c r="S32" s="209" t="s">
        <v>548</v>
      </c>
      <c r="T32" s="209" t="s">
        <v>549</v>
      </c>
      <c r="U32" s="407" t="s">
        <v>935</v>
      </c>
      <c r="V32" s="408"/>
      <c r="W32" s="408"/>
      <c r="X32" s="409"/>
      <c r="Y32" s="407" t="s">
        <v>935</v>
      </c>
      <c r="Z32" s="408"/>
      <c r="AA32" s="408"/>
      <c r="AB32" s="409"/>
    </row>
    <row r="33" spans="1:28" ht="409.5">
      <c r="A33" s="397"/>
      <c r="B33" s="448"/>
      <c r="C33" s="402"/>
      <c r="D33" s="453"/>
      <c r="E33" s="402"/>
      <c r="F33" s="447"/>
      <c r="G33" s="188" t="s">
        <v>393</v>
      </c>
      <c r="H33" s="188" t="s">
        <v>394</v>
      </c>
      <c r="I33" s="235" t="s">
        <v>790</v>
      </c>
      <c r="J33" s="448"/>
      <c r="K33" s="233" t="s">
        <v>402</v>
      </c>
      <c r="L33" s="204">
        <v>43101</v>
      </c>
      <c r="M33" s="204">
        <v>43465</v>
      </c>
      <c r="N33" s="205">
        <v>0</v>
      </c>
      <c r="O33" s="205">
        <v>0</v>
      </c>
      <c r="P33" s="205">
        <v>0.25</v>
      </c>
      <c r="Q33" s="205">
        <v>0.75</v>
      </c>
      <c r="R33" s="138">
        <v>0</v>
      </c>
      <c r="S33" s="139" t="s">
        <v>513</v>
      </c>
      <c r="T33" s="136" t="s">
        <v>420</v>
      </c>
      <c r="U33" s="407" t="s">
        <v>936</v>
      </c>
      <c r="V33" s="408"/>
      <c r="W33" s="408"/>
      <c r="X33" s="409"/>
      <c r="Y33" s="144">
        <v>0.5</v>
      </c>
      <c r="Z33" s="144" t="s">
        <v>1251</v>
      </c>
      <c r="AA33" s="144" t="s">
        <v>1254</v>
      </c>
      <c r="AB33" s="47" t="s">
        <v>1255</v>
      </c>
    </row>
    <row r="34" spans="1:28" ht="299.25">
      <c r="A34" s="397"/>
      <c r="B34" s="448"/>
      <c r="C34" s="402"/>
      <c r="D34" s="453"/>
      <c r="E34" s="402"/>
      <c r="F34" s="447"/>
      <c r="G34" s="188" t="s">
        <v>395</v>
      </c>
      <c r="H34" s="188" t="s">
        <v>396</v>
      </c>
      <c r="I34" s="208" t="s">
        <v>791</v>
      </c>
      <c r="J34" s="448"/>
      <c r="K34" s="233" t="s">
        <v>403</v>
      </c>
      <c r="L34" s="204">
        <v>43191</v>
      </c>
      <c r="M34" s="204">
        <v>43465</v>
      </c>
      <c r="N34" s="205">
        <v>0</v>
      </c>
      <c r="O34" s="205">
        <v>1</v>
      </c>
      <c r="P34" s="205">
        <v>0</v>
      </c>
      <c r="Q34" s="205">
        <v>0</v>
      </c>
      <c r="R34" s="138">
        <v>0</v>
      </c>
      <c r="S34" s="139" t="s">
        <v>513</v>
      </c>
      <c r="T34" s="136" t="s">
        <v>420</v>
      </c>
      <c r="U34" s="144">
        <v>1</v>
      </c>
      <c r="V34" s="234" t="s">
        <v>937</v>
      </c>
      <c r="W34" s="144" t="s">
        <v>938</v>
      </c>
      <c r="X34" s="144" t="s">
        <v>939</v>
      </c>
      <c r="Y34" s="407" t="s">
        <v>935</v>
      </c>
      <c r="Z34" s="408"/>
      <c r="AA34" s="408"/>
      <c r="AB34" s="409"/>
    </row>
    <row r="35" spans="1:28" ht="409.5">
      <c r="A35" s="397"/>
      <c r="B35" s="446"/>
      <c r="C35" s="403"/>
      <c r="D35" s="453"/>
      <c r="E35" s="402"/>
      <c r="F35" s="447"/>
      <c r="G35" s="188" t="s">
        <v>398</v>
      </c>
      <c r="H35" s="188" t="s">
        <v>397</v>
      </c>
      <c r="I35" s="208" t="s">
        <v>792</v>
      </c>
      <c r="J35" s="446"/>
      <c r="K35" s="233" t="s">
        <v>403</v>
      </c>
      <c r="L35" s="204">
        <v>43344</v>
      </c>
      <c r="M35" s="204">
        <v>43465</v>
      </c>
      <c r="N35" s="205">
        <v>0</v>
      </c>
      <c r="O35" s="205">
        <v>0</v>
      </c>
      <c r="P35" s="205">
        <v>0</v>
      </c>
      <c r="Q35" s="205">
        <v>1</v>
      </c>
      <c r="R35" s="232">
        <v>0.5</v>
      </c>
      <c r="S35" s="136" t="s">
        <v>597</v>
      </c>
      <c r="T35" s="136" t="s">
        <v>598</v>
      </c>
      <c r="U35" s="407" t="s">
        <v>940</v>
      </c>
      <c r="V35" s="408"/>
      <c r="W35" s="408"/>
      <c r="X35" s="409"/>
      <c r="Y35" s="407" t="s">
        <v>940</v>
      </c>
      <c r="Z35" s="408"/>
      <c r="AA35" s="408"/>
      <c r="AB35" s="409"/>
    </row>
    <row r="36" spans="1:28" ht="409.5">
      <c r="A36" s="397"/>
      <c r="B36" s="401" t="s">
        <v>348</v>
      </c>
      <c r="C36" s="188" t="s">
        <v>356</v>
      </c>
      <c r="D36" s="453"/>
      <c r="E36" s="402"/>
      <c r="F36" s="447"/>
      <c r="G36" s="188" t="s">
        <v>414</v>
      </c>
      <c r="H36" s="188" t="s">
        <v>413</v>
      </c>
      <c r="I36" s="183" t="s">
        <v>796</v>
      </c>
      <c r="J36" s="176" t="s">
        <v>344</v>
      </c>
      <c r="K36" s="136" t="s">
        <v>303</v>
      </c>
      <c r="L36" s="177">
        <v>43101</v>
      </c>
      <c r="M36" s="177">
        <v>43465</v>
      </c>
      <c r="N36" s="178">
        <v>0</v>
      </c>
      <c r="O36" s="178">
        <v>0.2</v>
      </c>
      <c r="P36" s="178">
        <v>0.5</v>
      </c>
      <c r="Q36" s="178">
        <v>1</v>
      </c>
      <c r="R36" s="173">
        <v>0</v>
      </c>
      <c r="S36" s="202" t="s">
        <v>1178</v>
      </c>
      <c r="T36" s="159" t="s">
        <v>508</v>
      </c>
      <c r="U36" s="139">
        <v>0.25</v>
      </c>
      <c r="V36" s="139" t="s">
        <v>903</v>
      </c>
      <c r="W36" s="139" t="s">
        <v>1179</v>
      </c>
      <c r="X36" s="195" t="s">
        <v>902</v>
      </c>
      <c r="Y36" s="139">
        <v>0.5</v>
      </c>
      <c r="Z36" s="139" t="s">
        <v>1474</v>
      </c>
      <c r="AA36" s="139" t="s">
        <v>1475</v>
      </c>
      <c r="AB36" s="139" t="s">
        <v>1476</v>
      </c>
    </row>
    <row r="37" spans="1:28" ht="128.25">
      <c r="A37" s="397"/>
      <c r="B37" s="403"/>
      <c r="C37" s="188" t="s">
        <v>357</v>
      </c>
      <c r="D37" s="453"/>
      <c r="E37" s="402"/>
      <c r="F37" s="447"/>
      <c r="G37" s="188" t="s">
        <v>553</v>
      </c>
      <c r="H37" s="188" t="s">
        <v>554</v>
      </c>
      <c r="I37" s="183" t="s">
        <v>820</v>
      </c>
      <c r="J37" s="176" t="s">
        <v>368</v>
      </c>
      <c r="K37" s="136" t="s">
        <v>303</v>
      </c>
      <c r="L37" s="177">
        <v>43344</v>
      </c>
      <c r="M37" s="177">
        <v>43465</v>
      </c>
      <c r="N37" s="178">
        <v>0</v>
      </c>
      <c r="O37" s="178">
        <v>0</v>
      </c>
      <c r="P37" s="178">
        <v>0</v>
      </c>
      <c r="Q37" s="178">
        <v>1</v>
      </c>
      <c r="R37" s="146">
        <v>0</v>
      </c>
      <c r="S37" s="139" t="s">
        <v>513</v>
      </c>
      <c r="T37" s="220" t="s">
        <v>420</v>
      </c>
      <c r="U37" s="404" t="s">
        <v>1164</v>
      </c>
      <c r="V37" s="405"/>
      <c r="W37" s="405"/>
      <c r="X37" s="406"/>
      <c r="Y37" s="320">
        <v>0</v>
      </c>
      <c r="Z37" s="321" t="s">
        <v>1435</v>
      </c>
      <c r="AA37" s="322" t="s">
        <v>420</v>
      </c>
      <c r="AB37" s="320">
        <v>0</v>
      </c>
    </row>
    <row r="38" spans="1:28" ht="409.5">
      <c r="A38" s="397"/>
      <c r="B38" s="401" t="s">
        <v>349</v>
      </c>
      <c r="C38" s="188" t="s">
        <v>358</v>
      </c>
      <c r="D38" s="453"/>
      <c r="E38" s="402"/>
      <c r="F38" s="447"/>
      <c r="G38" s="188" t="s">
        <v>364</v>
      </c>
      <c r="H38" s="188" t="s">
        <v>364</v>
      </c>
      <c r="I38" s="183" t="s">
        <v>821</v>
      </c>
      <c r="J38" s="176" t="s">
        <v>368</v>
      </c>
      <c r="K38" s="136" t="s">
        <v>303</v>
      </c>
      <c r="L38" s="177">
        <v>43101</v>
      </c>
      <c r="M38" s="177">
        <v>43465</v>
      </c>
      <c r="N38" s="178">
        <v>0.05</v>
      </c>
      <c r="O38" s="178">
        <v>0.25</v>
      </c>
      <c r="P38" s="178">
        <v>0.7</v>
      </c>
      <c r="Q38" s="178">
        <v>1</v>
      </c>
      <c r="R38" s="179">
        <v>0.05</v>
      </c>
      <c r="S38" s="136" t="s">
        <v>555</v>
      </c>
      <c r="T38" s="225"/>
      <c r="U38" s="139">
        <v>0.25</v>
      </c>
      <c r="V38" s="139" t="s">
        <v>1168</v>
      </c>
      <c r="W38" s="139" t="s">
        <v>1167</v>
      </c>
      <c r="X38" s="225" t="s">
        <v>1162</v>
      </c>
      <c r="Y38" s="323">
        <v>0.7</v>
      </c>
      <c r="Z38" s="324" t="s">
        <v>1436</v>
      </c>
      <c r="AA38" s="325" t="s">
        <v>1437</v>
      </c>
      <c r="AB38" s="326" t="s">
        <v>1438</v>
      </c>
    </row>
    <row r="39" spans="1:28" ht="384.75">
      <c r="A39" s="397"/>
      <c r="B39" s="403"/>
      <c r="C39" s="188" t="s">
        <v>359</v>
      </c>
      <c r="D39" s="454"/>
      <c r="E39" s="403"/>
      <c r="F39" s="439"/>
      <c r="G39" s="188" t="s">
        <v>365</v>
      </c>
      <c r="H39" s="188" t="s">
        <v>365</v>
      </c>
      <c r="I39" s="183" t="s">
        <v>822</v>
      </c>
      <c r="J39" s="176" t="s">
        <v>368</v>
      </c>
      <c r="K39" s="136" t="s">
        <v>303</v>
      </c>
      <c r="L39" s="177">
        <v>43191</v>
      </c>
      <c r="M39" s="177">
        <v>43465</v>
      </c>
      <c r="N39" s="178">
        <v>0</v>
      </c>
      <c r="O39" s="178">
        <v>0.25</v>
      </c>
      <c r="P39" s="178">
        <v>0.75</v>
      </c>
      <c r="Q39" s="178">
        <v>1</v>
      </c>
      <c r="R39" s="180">
        <v>0</v>
      </c>
      <c r="S39" s="136" t="s">
        <v>556</v>
      </c>
      <c r="T39" s="225"/>
      <c r="U39" s="139">
        <v>0.25</v>
      </c>
      <c r="V39" s="236" t="s">
        <v>1166</v>
      </c>
      <c r="W39" s="136" t="s">
        <v>1165</v>
      </c>
      <c r="X39" s="139" t="s">
        <v>1163</v>
      </c>
      <c r="Y39" s="327">
        <v>0.75</v>
      </c>
      <c r="Z39" s="317" t="s">
        <v>1439</v>
      </c>
      <c r="AA39" s="316" t="s">
        <v>1440</v>
      </c>
      <c r="AB39" s="328" t="s">
        <v>1441</v>
      </c>
    </row>
    <row r="40" spans="1:28" ht="242.25">
      <c r="A40" s="440" t="s">
        <v>242</v>
      </c>
      <c r="B40" s="136" t="s">
        <v>223</v>
      </c>
      <c r="C40" s="136" t="s">
        <v>224</v>
      </c>
      <c r="D40" s="440" t="s">
        <v>249</v>
      </c>
      <c r="E40" s="136" t="s">
        <v>95</v>
      </c>
      <c r="F40" s="440" t="s">
        <v>249</v>
      </c>
      <c r="G40" s="440" t="s">
        <v>249</v>
      </c>
      <c r="H40" s="440" t="s">
        <v>249</v>
      </c>
      <c r="I40" s="136" t="s">
        <v>224</v>
      </c>
      <c r="J40" s="364" t="s">
        <v>150</v>
      </c>
      <c r="K40" s="364" t="s">
        <v>303</v>
      </c>
      <c r="L40" s="142">
        <v>43101</v>
      </c>
      <c r="M40" s="137" t="s">
        <v>96</v>
      </c>
      <c r="N40" s="159" t="s">
        <v>420</v>
      </c>
      <c r="O40" s="159" t="s">
        <v>420</v>
      </c>
      <c r="P40" s="159" t="s">
        <v>420</v>
      </c>
      <c r="Q40" s="159" t="s">
        <v>420</v>
      </c>
      <c r="R40" s="156">
        <v>1.1299999999999999E-2</v>
      </c>
      <c r="S40" s="136" t="s">
        <v>491</v>
      </c>
      <c r="T40" s="136" t="s">
        <v>492</v>
      </c>
      <c r="U40" s="144" t="s">
        <v>420</v>
      </c>
      <c r="V40" s="156" t="s">
        <v>908</v>
      </c>
      <c r="W40" s="144" t="s">
        <v>906</v>
      </c>
      <c r="X40" s="136" t="s">
        <v>907</v>
      </c>
      <c r="Y40" s="139" t="s">
        <v>420</v>
      </c>
      <c r="Z40" s="300" t="s">
        <v>1256</v>
      </c>
      <c r="AA40" s="139" t="s">
        <v>1257</v>
      </c>
      <c r="AB40" s="290" t="s">
        <v>1258</v>
      </c>
    </row>
    <row r="41" spans="1:28" ht="256.5">
      <c r="A41" s="441"/>
      <c r="B41" s="136" t="s">
        <v>225</v>
      </c>
      <c r="C41" s="136" t="s">
        <v>226</v>
      </c>
      <c r="D41" s="441"/>
      <c r="E41" s="136" t="s">
        <v>95</v>
      </c>
      <c r="F41" s="441"/>
      <c r="G41" s="441"/>
      <c r="H41" s="441"/>
      <c r="I41" s="181" t="str">
        <f>+C41</f>
        <v>Total impuestos / Pasivos</v>
      </c>
      <c r="J41" s="419"/>
      <c r="K41" s="419"/>
      <c r="L41" s="142">
        <v>43101</v>
      </c>
      <c r="M41" s="137" t="s">
        <v>96</v>
      </c>
      <c r="N41" s="159" t="s">
        <v>420</v>
      </c>
      <c r="O41" s="159" t="s">
        <v>420</v>
      </c>
      <c r="P41" s="159" t="s">
        <v>420</v>
      </c>
      <c r="Q41" s="159" t="s">
        <v>420</v>
      </c>
      <c r="R41" s="182">
        <v>0</v>
      </c>
      <c r="S41" s="136" t="s">
        <v>493</v>
      </c>
      <c r="T41" s="136" t="s">
        <v>492</v>
      </c>
      <c r="U41" s="144" t="s">
        <v>420</v>
      </c>
      <c r="V41" s="156" t="s">
        <v>970</v>
      </c>
      <c r="W41" s="144" t="s">
        <v>960</v>
      </c>
      <c r="X41" s="136" t="s">
        <v>907</v>
      </c>
      <c r="Y41" s="139" t="s">
        <v>420</v>
      </c>
      <c r="Z41" s="300" t="s">
        <v>1259</v>
      </c>
      <c r="AA41" s="139" t="s">
        <v>1260</v>
      </c>
      <c r="AB41" s="290" t="s">
        <v>1258</v>
      </c>
    </row>
    <row r="42" spans="1:28" ht="256.5">
      <c r="A42" s="441"/>
      <c r="B42" s="136" t="s">
        <v>227</v>
      </c>
      <c r="C42" s="136" t="s">
        <v>228</v>
      </c>
      <c r="D42" s="441"/>
      <c r="E42" s="136" t="s">
        <v>95</v>
      </c>
      <c r="F42" s="441"/>
      <c r="G42" s="441"/>
      <c r="H42" s="441"/>
      <c r="I42" s="181" t="str">
        <f t="shared" ref="I42:I49" si="0">+C42</f>
        <v>Cuentas por pagar a proveedores / Activos corrientes</v>
      </c>
      <c r="J42" s="419"/>
      <c r="K42" s="419"/>
      <c r="L42" s="142">
        <v>43101</v>
      </c>
      <c r="M42" s="137" t="s">
        <v>96</v>
      </c>
      <c r="N42" s="159">
        <v>0.25</v>
      </c>
      <c r="O42" s="159" t="s">
        <v>420</v>
      </c>
      <c r="P42" s="159" t="s">
        <v>420</v>
      </c>
      <c r="Q42" s="159" t="s">
        <v>420</v>
      </c>
      <c r="R42" s="156">
        <v>9.9000000000000008E-3</v>
      </c>
      <c r="S42" s="136" t="s">
        <v>491</v>
      </c>
      <c r="T42" s="136" t="s">
        <v>492</v>
      </c>
      <c r="U42" s="144" t="s">
        <v>420</v>
      </c>
      <c r="V42" s="156" t="s">
        <v>971</v>
      </c>
      <c r="W42" s="144" t="s">
        <v>961</v>
      </c>
      <c r="X42" s="136" t="s">
        <v>907</v>
      </c>
      <c r="Y42" s="139" t="s">
        <v>420</v>
      </c>
      <c r="Z42" s="300" t="s">
        <v>1261</v>
      </c>
      <c r="AA42" s="139" t="s">
        <v>1262</v>
      </c>
      <c r="AB42" s="290" t="s">
        <v>1258</v>
      </c>
    </row>
    <row r="43" spans="1:28" ht="242.25">
      <c r="A43" s="441"/>
      <c r="B43" s="136" t="s">
        <v>229</v>
      </c>
      <c r="C43" s="136" t="s">
        <v>230</v>
      </c>
      <c r="D43" s="441"/>
      <c r="E43" s="136" t="s">
        <v>95</v>
      </c>
      <c r="F43" s="441"/>
      <c r="G43" s="441"/>
      <c r="H43" s="441"/>
      <c r="I43" s="181" t="str">
        <f t="shared" si="0"/>
        <v>Pasivo corriente / pasivo</v>
      </c>
      <c r="J43" s="419"/>
      <c r="K43" s="419"/>
      <c r="L43" s="142">
        <v>43101</v>
      </c>
      <c r="M43" s="137" t="s">
        <v>96</v>
      </c>
      <c r="N43" s="159">
        <v>0.25</v>
      </c>
      <c r="O43" s="159" t="s">
        <v>420</v>
      </c>
      <c r="P43" s="159" t="s">
        <v>420</v>
      </c>
      <c r="Q43" s="159" t="s">
        <v>420</v>
      </c>
      <c r="R43" s="156">
        <v>0.85489999999999999</v>
      </c>
      <c r="S43" s="136" t="s">
        <v>491</v>
      </c>
      <c r="T43" s="136" t="s">
        <v>492</v>
      </c>
      <c r="U43" s="144" t="s">
        <v>420</v>
      </c>
      <c r="V43" s="156" t="s">
        <v>972</v>
      </c>
      <c r="W43" s="144" t="s">
        <v>962</v>
      </c>
      <c r="X43" s="136" t="s">
        <v>907</v>
      </c>
      <c r="Y43" s="139" t="s">
        <v>420</v>
      </c>
      <c r="Z43" s="300" t="s">
        <v>1263</v>
      </c>
      <c r="AA43" s="139" t="s">
        <v>962</v>
      </c>
      <c r="AB43" s="290" t="s">
        <v>1258</v>
      </c>
    </row>
    <row r="44" spans="1:28" ht="285">
      <c r="A44" s="441"/>
      <c r="B44" s="136" t="s">
        <v>231</v>
      </c>
      <c r="C44" s="136" t="s">
        <v>232</v>
      </c>
      <c r="D44" s="441"/>
      <c r="E44" s="136" t="s">
        <v>95</v>
      </c>
      <c r="F44" s="441"/>
      <c r="G44" s="441"/>
      <c r="H44" s="441"/>
      <c r="I44" s="181" t="str">
        <f t="shared" si="0"/>
        <v>Pasivo / Patrimonio</v>
      </c>
      <c r="J44" s="419"/>
      <c r="K44" s="419"/>
      <c r="L44" s="142">
        <v>43101</v>
      </c>
      <c r="M44" s="137" t="s">
        <v>96</v>
      </c>
      <c r="N44" s="159">
        <v>0.25</v>
      </c>
      <c r="O44" s="159" t="s">
        <v>420</v>
      </c>
      <c r="P44" s="159" t="s">
        <v>420</v>
      </c>
      <c r="Q44" s="159" t="s">
        <v>420</v>
      </c>
      <c r="R44" s="156">
        <v>1.14E-2</v>
      </c>
      <c r="S44" s="136" t="s">
        <v>491</v>
      </c>
      <c r="T44" s="136" t="s">
        <v>492</v>
      </c>
      <c r="U44" s="144" t="s">
        <v>420</v>
      </c>
      <c r="V44" s="156" t="s">
        <v>973</v>
      </c>
      <c r="W44" s="144" t="s">
        <v>963</v>
      </c>
      <c r="X44" s="136" t="s">
        <v>907</v>
      </c>
      <c r="Y44" s="139" t="s">
        <v>420</v>
      </c>
      <c r="Z44" s="300" t="s">
        <v>1264</v>
      </c>
      <c r="AA44" s="139" t="s">
        <v>1265</v>
      </c>
      <c r="AB44" s="290" t="s">
        <v>1258</v>
      </c>
    </row>
    <row r="45" spans="1:28" ht="285">
      <c r="A45" s="441"/>
      <c r="B45" s="136" t="s">
        <v>233</v>
      </c>
      <c r="C45" s="136" t="s">
        <v>234</v>
      </c>
      <c r="D45" s="441"/>
      <c r="E45" s="136" t="s">
        <v>95</v>
      </c>
      <c r="F45" s="441"/>
      <c r="G45" s="441"/>
      <c r="H45" s="441"/>
      <c r="I45" s="181" t="str">
        <f t="shared" si="0"/>
        <v xml:space="preserve">Ventas  /  (Activos  Fijos  - Depreciación) </v>
      </c>
      <c r="J45" s="419"/>
      <c r="K45" s="419"/>
      <c r="L45" s="142">
        <v>43101</v>
      </c>
      <c r="M45" s="137" t="s">
        <v>96</v>
      </c>
      <c r="N45" s="159">
        <v>0.25</v>
      </c>
      <c r="O45" s="159" t="s">
        <v>420</v>
      </c>
      <c r="P45" s="159" t="s">
        <v>420</v>
      </c>
      <c r="Q45" s="159" t="s">
        <v>420</v>
      </c>
      <c r="R45" s="136">
        <v>0.24</v>
      </c>
      <c r="S45" s="136" t="s">
        <v>493</v>
      </c>
      <c r="T45" s="136" t="s">
        <v>492</v>
      </c>
      <c r="U45" s="144" t="s">
        <v>420</v>
      </c>
      <c r="V45" s="156" t="s">
        <v>974</v>
      </c>
      <c r="W45" s="144" t="s">
        <v>964</v>
      </c>
      <c r="X45" s="144" t="s">
        <v>907</v>
      </c>
      <c r="Y45" s="139" t="s">
        <v>420</v>
      </c>
      <c r="Z45" s="300" t="s">
        <v>1266</v>
      </c>
      <c r="AA45" s="139" t="s">
        <v>1267</v>
      </c>
      <c r="AB45" s="290" t="s">
        <v>1258</v>
      </c>
    </row>
    <row r="46" spans="1:28" ht="313.5">
      <c r="A46" s="441"/>
      <c r="B46" s="136" t="s">
        <v>235</v>
      </c>
      <c r="C46" s="136" t="s">
        <v>236</v>
      </c>
      <c r="D46" s="441"/>
      <c r="E46" s="136" t="s">
        <v>95</v>
      </c>
      <c r="F46" s="441"/>
      <c r="G46" s="441"/>
      <c r="H46" s="441"/>
      <c r="I46" s="181" t="str">
        <f t="shared" si="0"/>
        <v xml:space="preserve">Recaudo  en  el  periodo  / Total  de  ingresos </v>
      </c>
      <c r="J46" s="419"/>
      <c r="K46" s="419"/>
      <c r="L46" s="142">
        <v>43101</v>
      </c>
      <c r="M46" s="137" t="s">
        <v>96</v>
      </c>
      <c r="N46" s="159">
        <v>0.25</v>
      </c>
      <c r="O46" s="159">
        <v>0.5</v>
      </c>
      <c r="P46" s="159">
        <v>0.75</v>
      </c>
      <c r="Q46" s="159">
        <v>1</v>
      </c>
      <c r="R46" s="173">
        <v>1</v>
      </c>
      <c r="S46" s="136" t="s">
        <v>494</v>
      </c>
      <c r="T46" s="136" t="s">
        <v>495</v>
      </c>
      <c r="U46" s="139">
        <f>105013515877/173748726901</f>
        <v>0.60439876452640418</v>
      </c>
      <c r="V46" s="139" t="s">
        <v>975</v>
      </c>
      <c r="W46" s="139" t="s">
        <v>965</v>
      </c>
      <c r="X46" s="136" t="s">
        <v>495</v>
      </c>
      <c r="Y46" s="139">
        <f>145566870043/173748726901</f>
        <v>0.83780107422566785</v>
      </c>
      <c r="Z46" s="297" t="s">
        <v>1268</v>
      </c>
      <c r="AA46" s="139" t="s">
        <v>1269</v>
      </c>
      <c r="AB46" s="290" t="s">
        <v>1270</v>
      </c>
    </row>
    <row r="47" spans="1:28" ht="342">
      <c r="A47" s="441"/>
      <c r="B47" s="136" t="s">
        <v>237</v>
      </c>
      <c r="C47" s="136" t="s">
        <v>238</v>
      </c>
      <c r="D47" s="441"/>
      <c r="E47" s="136" t="s">
        <v>95</v>
      </c>
      <c r="F47" s="441"/>
      <c r="G47" s="441"/>
      <c r="H47" s="441"/>
      <c r="I47" s="181" t="str">
        <f t="shared" si="0"/>
        <v xml:space="preserve">Pagos  /  Compromisos </v>
      </c>
      <c r="J47" s="419"/>
      <c r="K47" s="419"/>
      <c r="L47" s="142">
        <v>43101</v>
      </c>
      <c r="M47" s="137" t="s">
        <v>96</v>
      </c>
      <c r="N47" s="159">
        <v>0.25</v>
      </c>
      <c r="O47" s="159">
        <v>0.25</v>
      </c>
      <c r="P47" s="159">
        <v>0.5</v>
      </c>
      <c r="Q47" s="159">
        <v>0.95</v>
      </c>
      <c r="R47" s="156">
        <v>0.24810590671040073</v>
      </c>
      <c r="S47" s="136" t="s">
        <v>496</v>
      </c>
      <c r="T47" s="136" t="s">
        <v>497</v>
      </c>
      <c r="U47" s="139">
        <f>13930092211/55920616746</f>
        <v>0.24910476710714066</v>
      </c>
      <c r="V47" s="139" t="s">
        <v>976</v>
      </c>
      <c r="W47" s="139" t="s">
        <v>966</v>
      </c>
      <c r="X47" s="136" t="s">
        <v>967</v>
      </c>
      <c r="Y47" s="139">
        <f>29179794517/64620182809</f>
        <v>0.45155852627727283</v>
      </c>
      <c r="Z47" s="139" t="s">
        <v>1271</v>
      </c>
      <c r="AA47" s="139" t="s">
        <v>1272</v>
      </c>
      <c r="AB47" s="290" t="s">
        <v>1273</v>
      </c>
    </row>
    <row r="48" spans="1:28" ht="270.75">
      <c r="A48" s="441"/>
      <c r="B48" s="136" t="s">
        <v>239</v>
      </c>
      <c r="C48" s="136" t="s">
        <v>238</v>
      </c>
      <c r="D48" s="441"/>
      <c r="E48" s="136" t="s">
        <v>95</v>
      </c>
      <c r="F48" s="441"/>
      <c r="G48" s="441"/>
      <c r="H48" s="441"/>
      <c r="I48" s="181" t="str">
        <f t="shared" si="0"/>
        <v xml:space="preserve">Pagos  /  Compromisos </v>
      </c>
      <c r="J48" s="419"/>
      <c r="K48" s="419"/>
      <c r="L48" s="142">
        <v>43101</v>
      </c>
      <c r="M48" s="137" t="s">
        <v>96</v>
      </c>
      <c r="N48" s="159">
        <v>0.25</v>
      </c>
      <c r="O48" s="159">
        <v>0.5</v>
      </c>
      <c r="P48" s="159">
        <v>0.6</v>
      </c>
      <c r="Q48" s="159">
        <v>0.95</v>
      </c>
      <c r="R48" s="156">
        <v>0.39099316485112123</v>
      </c>
      <c r="S48" s="136" t="s">
        <v>498</v>
      </c>
      <c r="T48" s="136" t="s">
        <v>497</v>
      </c>
      <c r="U48" s="139">
        <f>13780422484/24513315412</f>
        <v>0.56216069725330065</v>
      </c>
      <c r="V48" s="139" t="s">
        <v>977</v>
      </c>
      <c r="W48" s="139" t="s">
        <v>968</v>
      </c>
      <c r="X48" s="136" t="s">
        <v>967</v>
      </c>
      <c r="Y48" s="139">
        <f>22465613071/29200625021.5</f>
        <v>0.76935384275024565</v>
      </c>
      <c r="Z48" s="298" t="s">
        <v>1274</v>
      </c>
      <c r="AA48" s="139" t="s">
        <v>1275</v>
      </c>
      <c r="AB48" s="290" t="s">
        <v>1276</v>
      </c>
    </row>
    <row r="49" spans="1:28" ht="256.5">
      <c r="A49" s="442"/>
      <c r="B49" s="136" t="s">
        <v>240</v>
      </c>
      <c r="C49" s="136" t="s">
        <v>241</v>
      </c>
      <c r="D49" s="441"/>
      <c r="E49" s="136" t="s">
        <v>95</v>
      </c>
      <c r="F49" s="442"/>
      <c r="G49" s="442"/>
      <c r="H49" s="442"/>
      <c r="I49" s="181" t="str">
        <f t="shared" si="0"/>
        <v>Pagos  /  Compromisos</v>
      </c>
      <c r="J49" s="365"/>
      <c r="K49" s="365"/>
      <c r="L49" s="142">
        <v>43101</v>
      </c>
      <c r="M49" s="137" t="s">
        <v>96</v>
      </c>
      <c r="N49" s="159">
        <v>0.25</v>
      </c>
      <c r="O49" s="159">
        <v>0.4</v>
      </c>
      <c r="P49" s="159">
        <v>0.5</v>
      </c>
      <c r="Q49" s="159">
        <v>0.9</v>
      </c>
      <c r="R49" s="156">
        <v>0.21611366569877755</v>
      </c>
      <c r="S49" s="136" t="s">
        <v>499</v>
      </c>
      <c r="T49" s="136" t="s">
        <v>497</v>
      </c>
      <c r="U49" s="139">
        <f>6108241889/13379192731</f>
        <v>0.45654786591473612</v>
      </c>
      <c r="V49" s="139" t="s">
        <v>978</v>
      </c>
      <c r="W49" s="139" t="s">
        <v>969</v>
      </c>
      <c r="X49" s="136" t="s">
        <v>967</v>
      </c>
      <c r="Y49" s="139">
        <f>9607994217/14378097795</f>
        <v>0.66823820188100203</v>
      </c>
      <c r="Z49" s="299" t="s">
        <v>1277</v>
      </c>
      <c r="AA49" s="139" t="s">
        <v>1278</v>
      </c>
      <c r="AB49" s="290" t="s">
        <v>1279</v>
      </c>
    </row>
    <row r="50" spans="1:28" ht="156.75">
      <c r="A50" s="401" t="s">
        <v>488</v>
      </c>
      <c r="B50" s="401" t="s">
        <v>466</v>
      </c>
      <c r="C50" s="401" t="s">
        <v>1221</v>
      </c>
      <c r="D50" s="441"/>
      <c r="E50" s="431" t="s">
        <v>95</v>
      </c>
      <c r="F50" s="401" t="s">
        <v>1222</v>
      </c>
      <c r="G50" s="401" t="s">
        <v>468</v>
      </c>
      <c r="H50" s="188" t="s">
        <v>469</v>
      </c>
      <c r="I50" s="465" t="s">
        <v>785</v>
      </c>
      <c r="J50" s="431"/>
      <c r="K50" s="430" t="s">
        <v>486</v>
      </c>
      <c r="L50" s="184">
        <v>43115</v>
      </c>
      <c r="M50" s="184">
        <v>43205</v>
      </c>
      <c r="N50" s="155">
        <v>0.95</v>
      </c>
      <c r="O50" s="155">
        <v>0.05</v>
      </c>
      <c r="P50" s="155">
        <v>0</v>
      </c>
      <c r="Q50" s="155">
        <v>0</v>
      </c>
      <c r="R50" s="173">
        <v>0.95</v>
      </c>
      <c r="S50" s="136" t="s">
        <v>599</v>
      </c>
      <c r="T50" s="136" t="s">
        <v>600</v>
      </c>
      <c r="U50" s="237">
        <v>0.05</v>
      </c>
      <c r="V50" s="413">
        <v>11</v>
      </c>
      <c r="W50" s="206" t="s">
        <v>941</v>
      </c>
      <c r="X50" s="206" t="s">
        <v>942</v>
      </c>
      <c r="Y50" s="139" t="s">
        <v>420</v>
      </c>
      <c r="Z50" s="139" t="s">
        <v>1223</v>
      </c>
      <c r="AA50" s="139" t="s">
        <v>420</v>
      </c>
      <c r="AB50" s="139" t="s">
        <v>420</v>
      </c>
    </row>
    <row r="51" spans="1:28" ht="313.5">
      <c r="A51" s="402"/>
      <c r="B51" s="402"/>
      <c r="C51" s="402"/>
      <c r="D51" s="441"/>
      <c r="E51" s="431"/>
      <c r="F51" s="402"/>
      <c r="G51" s="402"/>
      <c r="H51" s="188" t="s">
        <v>470</v>
      </c>
      <c r="I51" s="466"/>
      <c r="J51" s="431"/>
      <c r="K51" s="431"/>
      <c r="L51" s="184">
        <v>43235</v>
      </c>
      <c r="M51" s="184">
        <v>43308</v>
      </c>
      <c r="N51" s="155">
        <v>0</v>
      </c>
      <c r="O51" s="155">
        <v>0.7</v>
      </c>
      <c r="P51" s="155">
        <v>0.3</v>
      </c>
      <c r="Q51" s="155">
        <v>0</v>
      </c>
      <c r="R51" s="173">
        <v>0</v>
      </c>
      <c r="S51" s="139" t="s">
        <v>513</v>
      </c>
      <c r="T51" s="136" t="s">
        <v>687</v>
      </c>
      <c r="U51" s="237">
        <v>0.7</v>
      </c>
      <c r="V51" s="414"/>
      <c r="W51" s="206" t="s">
        <v>943</v>
      </c>
      <c r="X51" s="238" t="s">
        <v>944</v>
      </c>
      <c r="Y51" s="139">
        <v>0.3</v>
      </c>
      <c r="Z51" s="139" t="s">
        <v>1223</v>
      </c>
      <c r="AA51" s="139" t="s">
        <v>1224</v>
      </c>
      <c r="AB51" s="139" t="s">
        <v>1225</v>
      </c>
    </row>
    <row r="52" spans="1:28" ht="142.5">
      <c r="A52" s="402"/>
      <c r="B52" s="402"/>
      <c r="C52" s="402"/>
      <c r="D52" s="441"/>
      <c r="E52" s="431"/>
      <c r="F52" s="402"/>
      <c r="G52" s="402"/>
      <c r="H52" s="188" t="s">
        <v>471</v>
      </c>
      <c r="I52" s="468"/>
      <c r="J52" s="431"/>
      <c r="K52" s="431"/>
      <c r="L52" s="184">
        <v>43313</v>
      </c>
      <c r="M52" s="184">
        <v>43465</v>
      </c>
      <c r="N52" s="155">
        <v>0</v>
      </c>
      <c r="O52" s="155">
        <v>0</v>
      </c>
      <c r="P52" s="155">
        <v>0.3</v>
      </c>
      <c r="Q52" s="155">
        <v>0.7</v>
      </c>
      <c r="R52" s="173">
        <v>0</v>
      </c>
      <c r="S52" s="139" t="s">
        <v>513</v>
      </c>
      <c r="T52" s="136" t="s">
        <v>687</v>
      </c>
      <c r="U52" s="237">
        <v>0</v>
      </c>
      <c r="V52" s="415"/>
      <c r="W52" s="416" t="s">
        <v>953</v>
      </c>
      <c r="X52" s="412"/>
      <c r="Y52" s="139">
        <v>0.3</v>
      </c>
      <c r="Z52" s="139" t="s">
        <v>1223</v>
      </c>
      <c r="AA52" s="139" t="s">
        <v>1226</v>
      </c>
      <c r="AB52" s="139" t="s">
        <v>1227</v>
      </c>
    </row>
    <row r="53" spans="1:28" ht="299.25">
      <c r="A53" s="402"/>
      <c r="B53" s="402"/>
      <c r="C53" s="402"/>
      <c r="D53" s="441"/>
      <c r="E53" s="431"/>
      <c r="F53" s="402"/>
      <c r="G53" s="402"/>
      <c r="H53" s="188" t="s">
        <v>472</v>
      </c>
      <c r="I53" s="465" t="s">
        <v>785</v>
      </c>
      <c r="J53" s="431"/>
      <c r="K53" s="430" t="s">
        <v>486</v>
      </c>
      <c r="L53" s="184">
        <v>43282</v>
      </c>
      <c r="M53" s="184">
        <v>43373</v>
      </c>
      <c r="N53" s="155">
        <v>0</v>
      </c>
      <c r="O53" s="155">
        <v>0</v>
      </c>
      <c r="P53" s="155">
        <v>1</v>
      </c>
      <c r="Q53" s="155">
        <v>0</v>
      </c>
      <c r="R53" s="173">
        <v>0</v>
      </c>
      <c r="S53" s="139" t="s">
        <v>513</v>
      </c>
      <c r="T53" s="462" t="s">
        <v>954</v>
      </c>
      <c r="U53" s="463"/>
      <c r="V53" s="463"/>
      <c r="W53" s="463"/>
      <c r="X53" s="464"/>
      <c r="Y53" s="139">
        <v>1</v>
      </c>
      <c r="Z53" s="139" t="s">
        <v>1223</v>
      </c>
      <c r="AA53" s="139" t="s">
        <v>1228</v>
      </c>
      <c r="AB53" s="139" t="s">
        <v>1229</v>
      </c>
    </row>
    <row r="54" spans="1:28" ht="142.5">
      <c r="A54" s="402"/>
      <c r="B54" s="402"/>
      <c r="C54" s="402"/>
      <c r="D54" s="441"/>
      <c r="E54" s="431"/>
      <c r="F54" s="402"/>
      <c r="G54" s="402"/>
      <c r="H54" s="188" t="s">
        <v>473</v>
      </c>
      <c r="I54" s="466"/>
      <c r="J54" s="431"/>
      <c r="K54" s="431"/>
      <c r="L54" s="184">
        <v>43344</v>
      </c>
      <c r="M54" s="184">
        <v>43404</v>
      </c>
      <c r="N54" s="155">
        <v>0</v>
      </c>
      <c r="O54" s="155">
        <v>0</v>
      </c>
      <c r="P54" s="155">
        <v>0.5</v>
      </c>
      <c r="Q54" s="155">
        <v>0.5</v>
      </c>
      <c r="R54" s="173">
        <v>0</v>
      </c>
      <c r="S54" s="139" t="s">
        <v>513</v>
      </c>
      <c r="T54" s="462"/>
      <c r="U54" s="463"/>
      <c r="V54" s="463"/>
      <c r="W54" s="463"/>
      <c r="X54" s="464"/>
      <c r="Y54" s="291">
        <v>0.5</v>
      </c>
      <c r="Z54" s="139" t="s">
        <v>1223</v>
      </c>
      <c r="AA54" s="139" t="s">
        <v>1230</v>
      </c>
      <c r="AB54" s="139" t="s">
        <v>1231</v>
      </c>
    </row>
    <row r="55" spans="1:28" ht="71.25">
      <c r="A55" s="402"/>
      <c r="B55" s="403"/>
      <c r="C55" s="403"/>
      <c r="D55" s="441"/>
      <c r="E55" s="431"/>
      <c r="F55" s="403"/>
      <c r="G55" s="403"/>
      <c r="H55" s="188" t="s">
        <v>474</v>
      </c>
      <c r="I55" s="466"/>
      <c r="J55" s="431"/>
      <c r="K55" s="432"/>
      <c r="L55" s="184">
        <v>43374</v>
      </c>
      <c r="M55" s="184">
        <v>43465</v>
      </c>
      <c r="N55" s="155">
        <v>0</v>
      </c>
      <c r="O55" s="155">
        <v>0</v>
      </c>
      <c r="P55" s="155">
        <v>0</v>
      </c>
      <c r="Q55" s="155">
        <v>1</v>
      </c>
      <c r="R55" s="173">
        <v>0</v>
      </c>
      <c r="S55" s="139" t="s">
        <v>513</v>
      </c>
      <c r="T55" s="462"/>
      <c r="U55" s="463"/>
      <c r="V55" s="463"/>
      <c r="W55" s="463"/>
      <c r="X55" s="464"/>
      <c r="Y55" s="407" t="s">
        <v>940</v>
      </c>
      <c r="Z55" s="408"/>
      <c r="AA55" s="408"/>
      <c r="AB55" s="409"/>
    </row>
    <row r="56" spans="1:28" ht="142.5">
      <c r="A56" s="402"/>
      <c r="B56" s="401" t="s">
        <v>467</v>
      </c>
      <c r="C56" s="401" t="s">
        <v>475</v>
      </c>
      <c r="D56" s="441"/>
      <c r="E56" s="431" t="s">
        <v>425</v>
      </c>
      <c r="F56" s="401" t="s">
        <v>476</v>
      </c>
      <c r="G56" s="401" t="s">
        <v>477</v>
      </c>
      <c r="H56" s="188" t="s">
        <v>478</v>
      </c>
      <c r="I56" s="186" t="s">
        <v>786</v>
      </c>
      <c r="J56" s="431"/>
      <c r="K56" s="430" t="s">
        <v>487</v>
      </c>
      <c r="L56" s="184">
        <v>43101</v>
      </c>
      <c r="M56" s="184">
        <v>43251</v>
      </c>
      <c r="N56" s="155">
        <v>0.6</v>
      </c>
      <c r="O56" s="155">
        <v>0.4</v>
      </c>
      <c r="P56" s="155">
        <v>0</v>
      </c>
      <c r="Q56" s="155">
        <v>0</v>
      </c>
      <c r="R56" s="173">
        <v>0.6</v>
      </c>
      <c r="S56" s="136" t="s">
        <v>601</v>
      </c>
      <c r="T56" s="136" t="s">
        <v>602</v>
      </c>
      <c r="U56" s="237">
        <v>0.4</v>
      </c>
      <c r="V56" s="206">
        <v>24</v>
      </c>
      <c r="W56" s="206" t="s">
        <v>945</v>
      </c>
      <c r="X56" s="206" t="s">
        <v>946</v>
      </c>
      <c r="Y56" s="407" t="s">
        <v>1465</v>
      </c>
      <c r="Z56" s="408"/>
      <c r="AA56" s="408"/>
      <c r="AB56" s="409"/>
    </row>
    <row r="57" spans="1:28" ht="242.25">
      <c r="A57" s="402"/>
      <c r="B57" s="402"/>
      <c r="C57" s="402"/>
      <c r="D57" s="441"/>
      <c r="E57" s="431"/>
      <c r="F57" s="402"/>
      <c r="G57" s="402"/>
      <c r="H57" s="188" t="s">
        <v>479</v>
      </c>
      <c r="I57" s="465" t="s">
        <v>785</v>
      </c>
      <c r="J57" s="431"/>
      <c r="K57" s="431"/>
      <c r="L57" s="184">
        <v>43252</v>
      </c>
      <c r="M57" s="184">
        <v>43404</v>
      </c>
      <c r="N57" s="155">
        <v>0</v>
      </c>
      <c r="O57" s="155">
        <v>0.1</v>
      </c>
      <c r="P57" s="155">
        <v>0.6</v>
      </c>
      <c r="Q57" s="155">
        <v>0.3</v>
      </c>
      <c r="R57" s="136">
        <v>0</v>
      </c>
      <c r="S57" s="139" t="s">
        <v>513</v>
      </c>
      <c r="T57" s="136" t="s">
        <v>687</v>
      </c>
      <c r="U57" s="237">
        <v>0.4</v>
      </c>
      <c r="V57" s="417">
        <v>11</v>
      </c>
      <c r="W57" s="206" t="s">
        <v>947</v>
      </c>
      <c r="X57" s="206" t="s">
        <v>948</v>
      </c>
      <c r="Y57" s="144">
        <v>0.6</v>
      </c>
      <c r="Z57" s="139" t="s">
        <v>1223</v>
      </c>
      <c r="AA57" s="139" t="s">
        <v>1232</v>
      </c>
      <c r="AB57" s="139" t="s">
        <v>1233</v>
      </c>
    </row>
    <row r="58" spans="1:28" ht="225">
      <c r="A58" s="402"/>
      <c r="B58" s="403"/>
      <c r="C58" s="403"/>
      <c r="D58" s="441"/>
      <c r="E58" s="431"/>
      <c r="F58" s="403"/>
      <c r="G58" s="403"/>
      <c r="H58" s="188" t="s">
        <v>480</v>
      </c>
      <c r="I58" s="467"/>
      <c r="J58" s="431"/>
      <c r="K58" s="432"/>
      <c r="L58" s="184">
        <v>43101</v>
      </c>
      <c r="M58" s="184">
        <v>43404</v>
      </c>
      <c r="N58" s="155">
        <v>0.2</v>
      </c>
      <c r="O58" s="155">
        <v>0.3</v>
      </c>
      <c r="P58" s="155">
        <v>0.3</v>
      </c>
      <c r="Q58" s="155">
        <v>0.2</v>
      </c>
      <c r="R58" s="173">
        <v>0.2</v>
      </c>
      <c r="S58" s="136" t="s">
        <v>603</v>
      </c>
      <c r="T58" s="136" t="s">
        <v>604</v>
      </c>
      <c r="U58" s="132">
        <v>0.3</v>
      </c>
      <c r="V58" s="418"/>
      <c r="W58" s="206" t="s">
        <v>949</v>
      </c>
      <c r="X58" s="206" t="s">
        <v>950</v>
      </c>
      <c r="Y58" s="139">
        <v>0.3</v>
      </c>
      <c r="Z58" s="139" t="s">
        <v>1223</v>
      </c>
      <c r="AA58" s="139" t="s">
        <v>1234</v>
      </c>
      <c r="AB58" s="139" t="s">
        <v>1235</v>
      </c>
    </row>
    <row r="59" spans="1:28" ht="71.25">
      <c r="A59" s="402"/>
      <c r="B59" s="401" t="s">
        <v>467</v>
      </c>
      <c r="C59" s="401" t="s">
        <v>681</v>
      </c>
      <c r="D59" s="441"/>
      <c r="E59" s="431" t="s">
        <v>433</v>
      </c>
      <c r="F59" s="401" t="s">
        <v>481</v>
      </c>
      <c r="G59" s="401" t="s">
        <v>482</v>
      </c>
      <c r="H59" s="188" t="s">
        <v>483</v>
      </c>
      <c r="I59" s="430" t="s">
        <v>681</v>
      </c>
      <c r="J59" s="431"/>
      <c r="K59" s="430" t="s">
        <v>487</v>
      </c>
      <c r="L59" s="184">
        <v>43405</v>
      </c>
      <c r="M59" s="184">
        <v>43434</v>
      </c>
      <c r="N59" s="155">
        <v>0</v>
      </c>
      <c r="O59" s="155">
        <v>0</v>
      </c>
      <c r="P59" s="155">
        <v>0</v>
      </c>
      <c r="Q59" s="155">
        <v>1</v>
      </c>
      <c r="R59" s="136">
        <v>0</v>
      </c>
      <c r="S59" s="139" t="s">
        <v>513</v>
      </c>
      <c r="T59" s="136" t="s">
        <v>687</v>
      </c>
      <c r="U59" s="410" t="s">
        <v>954</v>
      </c>
      <c r="V59" s="411"/>
      <c r="W59" s="411"/>
      <c r="X59" s="412"/>
      <c r="Y59" s="407" t="s">
        <v>940</v>
      </c>
      <c r="Z59" s="408"/>
      <c r="AA59" s="408"/>
      <c r="AB59" s="409"/>
    </row>
    <row r="60" spans="1:28" ht="71.25">
      <c r="A60" s="402"/>
      <c r="B60" s="403"/>
      <c r="C60" s="403"/>
      <c r="D60" s="441"/>
      <c r="E60" s="431"/>
      <c r="F60" s="403"/>
      <c r="G60" s="403"/>
      <c r="H60" s="188" t="s">
        <v>484</v>
      </c>
      <c r="I60" s="432"/>
      <c r="J60" s="431"/>
      <c r="K60" s="432"/>
      <c r="L60" s="184">
        <v>43405</v>
      </c>
      <c r="M60" s="184">
        <v>43465</v>
      </c>
      <c r="N60" s="155">
        <v>0</v>
      </c>
      <c r="O60" s="155">
        <v>0</v>
      </c>
      <c r="P60" s="155">
        <v>0</v>
      </c>
      <c r="Q60" s="155">
        <v>1</v>
      </c>
      <c r="R60" s="136">
        <v>0</v>
      </c>
      <c r="S60" s="139" t="s">
        <v>513</v>
      </c>
      <c r="T60" s="136" t="s">
        <v>687</v>
      </c>
      <c r="U60" s="410" t="s">
        <v>954</v>
      </c>
      <c r="V60" s="411"/>
      <c r="W60" s="411"/>
      <c r="X60" s="412"/>
      <c r="Y60" s="407" t="s">
        <v>940</v>
      </c>
      <c r="Z60" s="408"/>
      <c r="AA60" s="408"/>
      <c r="AB60" s="409"/>
    </row>
    <row r="61" spans="1:28" ht="327.75">
      <c r="A61" s="403"/>
      <c r="B61" s="188" t="s">
        <v>280</v>
      </c>
      <c r="C61" s="188" t="s">
        <v>682</v>
      </c>
      <c r="D61" s="442"/>
      <c r="E61" s="185" t="s">
        <v>95</v>
      </c>
      <c r="F61" s="188" t="s">
        <v>688</v>
      </c>
      <c r="G61" s="188" t="s">
        <v>280</v>
      </c>
      <c r="H61" s="188" t="s">
        <v>485</v>
      </c>
      <c r="I61" s="187" t="s">
        <v>682</v>
      </c>
      <c r="J61" s="432"/>
      <c r="K61" s="336"/>
      <c r="L61" s="184">
        <v>43101</v>
      </c>
      <c r="M61" s="184">
        <v>43465</v>
      </c>
      <c r="N61" s="155">
        <v>0.25</v>
      </c>
      <c r="O61" s="155">
        <v>0.25</v>
      </c>
      <c r="P61" s="155">
        <v>0.25</v>
      </c>
      <c r="Q61" s="155">
        <v>0.25</v>
      </c>
      <c r="R61" s="173">
        <v>0.25</v>
      </c>
      <c r="S61" s="136" t="s">
        <v>605</v>
      </c>
      <c r="T61" s="136" t="s">
        <v>606</v>
      </c>
      <c r="U61" s="237">
        <v>0.25</v>
      </c>
      <c r="V61" s="237">
        <v>0.25</v>
      </c>
      <c r="W61" s="206" t="s">
        <v>951</v>
      </c>
      <c r="X61" s="206" t="s">
        <v>952</v>
      </c>
      <c r="Y61" s="139">
        <v>0.25</v>
      </c>
      <c r="Z61" s="139" t="s">
        <v>1223</v>
      </c>
      <c r="AA61" s="139" t="s">
        <v>1236</v>
      </c>
      <c r="AB61" s="139" t="s">
        <v>1237</v>
      </c>
    </row>
    <row r="62" spans="1:28">
      <c r="R62" s="153"/>
    </row>
  </sheetData>
  <autoFilter ref="A3:AF61">
    <filterColumn colId="15">
      <filters>
        <filter val="100%"/>
        <filter val="25%"/>
        <filter val="30%"/>
        <filter val="40%"/>
        <filter val="50%"/>
        <filter val="60%"/>
        <filter val="65%"/>
        <filter val="67%"/>
        <filter val="70%"/>
        <filter val="75%"/>
        <filter val="80%"/>
        <filter val="85%"/>
      </filters>
    </filterColumn>
  </autoFilter>
  <mergeCells count="109">
    <mergeCell ref="C50:C55"/>
    <mergeCell ref="F50:F55"/>
    <mergeCell ref="E50:E55"/>
    <mergeCell ref="E56:E58"/>
    <mergeCell ref="H40:H49"/>
    <mergeCell ref="K40:K49"/>
    <mergeCell ref="G40:G49"/>
    <mergeCell ref="J31:J35"/>
    <mergeCell ref="Y55:AB55"/>
    <mergeCell ref="F59:F60"/>
    <mergeCell ref="G59:G60"/>
    <mergeCell ref="J50:J61"/>
    <mergeCell ref="G50:G55"/>
    <mergeCell ref="Y56:AB56"/>
    <mergeCell ref="Y59:AB59"/>
    <mergeCell ref="Y60:AB60"/>
    <mergeCell ref="T53:X55"/>
    <mergeCell ref="F56:F58"/>
    <mergeCell ref="G56:G58"/>
    <mergeCell ref="I53:I55"/>
    <mergeCell ref="I59:I60"/>
    <mergeCell ref="I57:I58"/>
    <mergeCell ref="I50:I52"/>
    <mergeCell ref="K56:K58"/>
    <mergeCell ref="K59:K60"/>
    <mergeCell ref="A1:A3"/>
    <mergeCell ref="B1:B3"/>
    <mergeCell ref="C1:C3"/>
    <mergeCell ref="D1:D3"/>
    <mergeCell ref="E4:E10"/>
    <mergeCell ref="F1:F3"/>
    <mergeCell ref="D21:D23"/>
    <mergeCell ref="E21:E23"/>
    <mergeCell ref="F21:F23"/>
    <mergeCell ref="C19:C20"/>
    <mergeCell ref="C6:C8"/>
    <mergeCell ref="D19:D20"/>
    <mergeCell ref="A40:A49"/>
    <mergeCell ref="A4:A16"/>
    <mergeCell ref="B4:B13"/>
    <mergeCell ref="B14:B16"/>
    <mergeCell ref="B19:B20"/>
    <mergeCell ref="B28:B29"/>
    <mergeCell ref="A27:A39"/>
    <mergeCell ref="F27:F39"/>
    <mergeCell ref="E27:E39"/>
    <mergeCell ref="B36:B37"/>
    <mergeCell ref="B38:B39"/>
    <mergeCell ref="B31:B35"/>
    <mergeCell ref="C31:C35"/>
    <mergeCell ref="A17:A26"/>
    <mergeCell ref="B21:B23"/>
    <mergeCell ref="C21:C23"/>
    <mergeCell ref="D4:D10"/>
    <mergeCell ref="D40:D61"/>
    <mergeCell ref="F40:F49"/>
    <mergeCell ref="C56:C58"/>
    <mergeCell ref="D27:D39"/>
    <mergeCell ref="D25:D26"/>
    <mergeCell ref="E59:E60"/>
    <mergeCell ref="C59:C60"/>
    <mergeCell ref="B59:B60"/>
    <mergeCell ref="R1:AF1"/>
    <mergeCell ref="R2:T2"/>
    <mergeCell ref="L1:M1"/>
    <mergeCell ref="N1:Q1"/>
    <mergeCell ref="L2:L3"/>
    <mergeCell ref="M2:M3"/>
    <mergeCell ref="J1:J3"/>
    <mergeCell ref="K1:K3"/>
    <mergeCell ref="AA22:AA23"/>
    <mergeCell ref="U2:X2"/>
    <mergeCell ref="Y2:AB2"/>
    <mergeCell ref="AC2:AF2"/>
    <mergeCell ref="H1:H3"/>
    <mergeCell ref="G1:G3"/>
    <mergeCell ref="I1:I3"/>
    <mergeCell ref="E1:E3"/>
    <mergeCell ref="G6:G8"/>
    <mergeCell ref="Y35:AB35"/>
    <mergeCell ref="Y34:AB34"/>
    <mergeCell ref="Y31:AB31"/>
    <mergeCell ref="K21:K23"/>
    <mergeCell ref="J21:J23"/>
    <mergeCell ref="Y32:AB32"/>
    <mergeCell ref="A50:A61"/>
    <mergeCell ref="U6:X6"/>
    <mergeCell ref="U32:X32"/>
    <mergeCell ref="U33:X33"/>
    <mergeCell ref="U59:X59"/>
    <mergeCell ref="U60:X60"/>
    <mergeCell ref="U16:X16"/>
    <mergeCell ref="U35:X35"/>
    <mergeCell ref="V50:V52"/>
    <mergeCell ref="W52:X52"/>
    <mergeCell ref="V57:V58"/>
    <mergeCell ref="U37:X37"/>
    <mergeCell ref="J6:J8"/>
    <mergeCell ref="J40:J49"/>
    <mergeCell ref="L5:L7"/>
    <mergeCell ref="M5:M7"/>
    <mergeCell ref="J19:J20"/>
    <mergeCell ref="L21:L23"/>
    <mergeCell ref="M21:M23"/>
    <mergeCell ref="K50:K52"/>
    <mergeCell ref="K53:K55"/>
    <mergeCell ref="F4:F10"/>
    <mergeCell ref="B50:B55"/>
    <mergeCell ref="B56:B58"/>
  </mergeCells>
  <hyperlinks>
    <hyperlink ref="T26" r:id="rId1"/>
    <hyperlink ref="T18" r:id="rId2" display="https://goo.gl/4wEjhh"/>
    <hyperlink ref="T25" r:id="rId3"/>
    <hyperlink ref="T23" r:id="rId4" display="http://www.icfes.gov.co/divulgaciones-establecimientos/cursos-virtuales/introduccion "/>
    <hyperlink ref="X18" r:id="rId5" display="https://goo.gl/4wEjhh"/>
    <hyperlink ref="X26" r:id="rId6"/>
    <hyperlink ref="X36" r:id="rId7" display="http://www.icfes.gov.co/instituciones-educativas-y-secretarias/saber-tyt/guias-de-orientacion_x000a__x000a_"/>
    <hyperlink ref="X23" r:id="rId8"/>
    <hyperlink ref="X27" r:id="rId9"/>
    <hyperlink ref="X9" r:id="rId10"/>
    <hyperlink ref="X12" r:id="rId11"/>
    <hyperlink ref="X7" r:id="rId12"/>
    <hyperlink ref="X24" r:id="rId13"/>
    <hyperlink ref="X25" r:id="rId14"/>
    <hyperlink ref="AB25" r:id="rId15"/>
    <hyperlink ref="AB12" r:id="rId16"/>
    <hyperlink ref="AB13" r:id="rId17"/>
    <hyperlink ref="AB9" r:id="rId18"/>
  </hyperlinks>
  <pageMargins left="0.7" right="0.7" top="0.75" bottom="0.75" header="0.3" footer="0.3"/>
  <pageSetup orientation="portrait" horizontalDpi="4294967294" verticalDpi="4294967294" r:id="rId19"/>
  <legacyDrawing r:id="rId20"/>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A4:A10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6" tint="0.39997558519241921"/>
  </sheetPr>
  <dimension ref="A1:AF33"/>
  <sheetViews>
    <sheetView zoomScale="70" zoomScaleNormal="70" workbookViewId="0">
      <pane ySplit="3" topLeftCell="A4" activePane="bottomLeft" state="frozen"/>
      <selection activeCell="E1" sqref="E1"/>
      <selection pane="bottomLeft" sqref="A1:A3"/>
    </sheetView>
  </sheetViews>
  <sheetFormatPr baseColWidth="10" defaultColWidth="10.7109375" defaultRowHeight="14.25"/>
  <cols>
    <col min="1" max="1" width="19.7109375" style="72" customWidth="1"/>
    <col min="2" max="2" width="21.28515625" style="71" customWidth="1"/>
    <col min="3" max="3" width="26.85546875" style="72" customWidth="1"/>
    <col min="4" max="4" width="17.28515625" style="83" customWidth="1"/>
    <col min="5" max="5" width="13.28515625" style="72" customWidth="1"/>
    <col min="6" max="6" width="13.7109375" style="83" customWidth="1"/>
    <col min="7" max="7" width="38.5703125" style="72" customWidth="1"/>
    <col min="8" max="8" width="35.85546875" style="72" customWidth="1"/>
    <col min="9" max="9" width="35.85546875" style="76" customWidth="1"/>
    <col min="10" max="10" width="19.42578125" style="72" customWidth="1"/>
    <col min="11" max="11" width="16" style="72" customWidth="1"/>
    <col min="12" max="12" width="20" style="72" customWidth="1"/>
    <col min="13" max="13" width="17.140625" style="72" customWidth="1"/>
    <col min="14" max="14" width="18.7109375" style="72" bestFit="1" customWidth="1"/>
    <col min="15" max="15" width="19.42578125" style="189" bestFit="1" customWidth="1"/>
    <col min="16" max="16" width="20.42578125" style="72" bestFit="1" customWidth="1"/>
    <col min="17" max="17" width="20.85546875" style="72" bestFit="1" customWidth="1"/>
    <col min="18" max="20" width="20.7109375" style="63" hidden="1" customWidth="1"/>
    <col min="21" max="21" width="17.28515625" style="189" hidden="1" customWidth="1"/>
    <col min="22" max="32" width="17.28515625" style="72" hidden="1" customWidth="1"/>
    <col min="33" max="16384" width="10.7109375" style="72"/>
  </cols>
  <sheetData>
    <row r="1" spans="1:32" ht="18.75" customHeight="1">
      <c r="A1" s="499" t="s">
        <v>94</v>
      </c>
      <c r="B1" s="499" t="s">
        <v>74</v>
      </c>
      <c r="C1" s="499" t="s">
        <v>65</v>
      </c>
      <c r="D1" s="498" t="s">
        <v>66</v>
      </c>
      <c r="E1" s="499" t="s">
        <v>67</v>
      </c>
      <c r="F1" s="498" t="s">
        <v>68</v>
      </c>
      <c r="G1" s="499" t="s">
        <v>69</v>
      </c>
      <c r="H1" s="500" t="s">
        <v>250</v>
      </c>
      <c r="I1" s="500" t="s">
        <v>741</v>
      </c>
      <c r="J1" s="499" t="s">
        <v>145</v>
      </c>
      <c r="K1" s="499" t="s">
        <v>147</v>
      </c>
      <c r="L1" s="503" t="s">
        <v>70</v>
      </c>
      <c r="M1" s="503"/>
      <c r="N1" s="503" t="s">
        <v>79</v>
      </c>
      <c r="O1" s="510"/>
      <c r="P1" s="503"/>
      <c r="Q1" s="503"/>
      <c r="R1" s="475" t="s">
        <v>386</v>
      </c>
      <c r="S1" s="476"/>
      <c r="T1" s="476"/>
      <c r="U1" s="477"/>
      <c r="V1" s="476"/>
      <c r="W1" s="476"/>
      <c r="X1" s="476"/>
      <c r="Y1" s="476"/>
      <c r="Z1" s="476"/>
      <c r="AA1" s="476"/>
      <c r="AB1" s="476"/>
      <c r="AC1" s="476"/>
      <c r="AD1" s="476"/>
      <c r="AE1" s="476"/>
      <c r="AF1" s="476"/>
    </row>
    <row r="2" spans="1:32" ht="15.75" customHeight="1">
      <c r="A2" s="499"/>
      <c r="B2" s="499"/>
      <c r="C2" s="499"/>
      <c r="D2" s="498"/>
      <c r="E2" s="499"/>
      <c r="F2" s="498"/>
      <c r="G2" s="499"/>
      <c r="H2" s="501"/>
      <c r="I2" s="501"/>
      <c r="J2" s="499"/>
      <c r="K2" s="499"/>
      <c r="L2" s="511" t="s">
        <v>71</v>
      </c>
      <c r="M2" s="511" t="s">
        <v>72</v>
      </c>
      <c r="N2" s="67" t="s">
        <v>75</v>
      </c>
      <c r="O2" s="67" t="s">
        <v>76</v>
      </c>
      <c r="P2" s="67" t="s">
        <v>77</v>
      </c>
      <c r="Q2" s="67" t="s">
        <v>78</v>
      </c>
      <c r="R2" s="472" t="s">
        <v>75</v>
      </c>
      <c r="S2" s="473"/>
      <c r="T2" s="474"/>
      <c r="U2" s="478" t="s">
        <v>76</v>
      </c>
      <c r="V2" s="479"/>
      <c r="W2" s="479"/>
      <c r="X2" s="480"/>
      <c r="Y2" s="469" t="s">
        <v>77</v>
      </c>
      <c r="Z2" s="470"/>
      <c r="AA2" s="470"/>
      <c r="AB2" s="471"/>
      <c r="AC2" s="472" t="s">
        <v>78</v>
      </c>
      <c r="AD2" s="473"/>
      <c r="AE2" s="473"/>
      <c r="AF2" s="474"/>
    </row>
    <row r="3" spans="1:32" ht="48" customHeight="1">
      <c r="A3" s="499"/>
      <c r="B3" s="499"/>
      <c r="C3" s="499"/>
      <c r="D3" s="498"/>
      <c r="E3" s="499"/>
      <c r="F3" s="498"/>
      <c r="G3" s="499"/>
      <c r="H3" s="502"/>
      <c r="I3" s="502"/>
      <c r="J3" s="499"/>
      <c r="K3" s="499"/>
      <c r="L3" s="511"/>
      <c r="M3" s="511"/>
      <c r="N3" s="68" t="s">
        <v>112</v>
      </c>
      <c r="O3" s="174" t="s">
        <v>112</v>
      </c>
      <c r="P3" s="68" t="s">
        <v>112</v>
      </c>
      <c r="Q3" s="68" t="s">
        <v>112</v>
      </c>
      <c r="R3" s="69" t="s">
        <v>387</v>
      </c>
      <c r="S3" s="69" t="s">
        <v>388</v>
      </c>
      <c r="T3" s="69" t="s">
        <v>389</v>
      </c>
      <c r="U3" s="69" t="s">
        <v>696</v>
      </c>
      <c r="V3" s="69" t="s">
        <v>724</v>
      </c>
      <c r="W3" s="69" t="s">
        <v>708</v>
      </c>
      <c r="X3" s="69" t="s">
        <v>389</v>
      </c>
      <c r="Y3" s="293" t="s">
        <v>696</v>
      </c>
      <c r="Z3" s="293" t="s">
        <v>724</v>
      </c>
      <c r="AA3" s="293" t="s">
        <v>708</v>
      </c>
      <c r="AB3" s="293" t="s">
        <v>389</v>
      </c>
      <c r="AC3" s="69" t="s">
        <v>696</v>
      </c>
      <c r="AD3" s="69" t="s">
        <v>724</v>
      </c>
      <c r="AE3" s="69" t="s">
        <v>708</v>
      </c>
      <c r="AF3" s="69" t="s">
        <v>389</v>
      </c>
    </row>
    <row r="4" spans="1:32" s="27" customFormat="1" ht="409.5">
      <c r="A4" s="481" t="s">
        <v>58</v>
      </c>
      <c r="B4" s="504" t="s">
        <v>82</v>
      </c>
      <c r="C4" s="240" t="s">
        <v>114</v>
      </c>
      <c r="D4" s="241">
        <v>0.12</v>
      </c>
      <c r="E4" s="240" t="s">
        <v>95</v>
      </c>
      <c r="F4" s="241">
        <v>1</v>
      </c>
      <c r="G4" s="151" t="s">
        <v>758</v>
      </c>
      <c r="H4" s="151" t="s">
        <v>758</v>
      </c>
      <c r="I4" s="167" t="s">
        <v>705</v>
      </c>
      <c r="J4" s="145" t="s">
        <v>146</v>
      </c>
      <c r="K4" s="145" t="s">
        <v>312</v>
      </c>
      <c r="L4" s="242">
        <v>43102</v>
      </c>
      <c r="M4" s="242">
        <v>43462</v>
      </c>
      <c r="N4" s="241">
        <v>0.25</v>
      </c>
      <c r="O4" s="243">
        <v>0.5</v>
      </c>
      <c r="P4" s="241">
        <v>0.75</v>
      </c>
      <c r="Q4" s="241">
        <v>1</v>
      </c>
      <c r="R4" s="138">
        <v>0.25</v>
      </c>
      <c r="S4" s="139" t="s">
        <v>675</v>
      </c>
      <c r="T4" s="195" t="s">
        <v>676</v>
      </c>
      <c r="U4" s="144">
        <v>0.5</v>
      </c>
      <c r="V4" s="139" t="s">
        <v>1180</v>
      </c>
      <c r="W4" s="139" t="s">
        <v>1181</v>
      </c>
      <c r="X4" s="195" t="s">
        <v>1182</v>
      </c>
      <c r="Y4" s="139">
        <v>0.85</v>
      </c>
      <c r="Z4" s="139" t="s">
        <v>1486</v>
      </c>
      <c r="AA4" s="139" t="s">
        <v>1487</v>
      </c>
      <c r="AB4" s="195" t="s">
        <v>1182</v>
      </c>
      <c r="AC4" s="139"/>
      <c r="AD4" s="139"/>
      <c r="AE4" s="139"/>
      <c r="AF4" s="139"/>
    </row>
    <row r="5" spans="1:32" s="27" customFormat="1" ht="270.75">
      <c r="A5" s="482"/>
      <c r="B5" s="504"/>
      <c r="C5" s="240" t="s">
        <v>113</v>
      </c>
      <c r="D5" s="241">
        <v>0.12</v>
      </c>
      <c r="E5" s="240" t="s">
        <v>95</v>
      </c>
      <c r="F5" s="241">
        <v>1</v>
      </c>
      <c r="G5" s="240" t="s">
        <v>333</v>
      </c>
      <c r="H5" s="240" t="s">
        <v>333</v>
      </c>
      <c r="I5" s="240" t="s">
        <v>706</v>
      </c>
      <c r="J5" s="145" t="s">
        <v>150</v>
      </c>
      <c r="K5" s="145" t="s">
        <v>312</v>
      </c>
      <c r="L5" s="242">
        <v>43102</v>
      </c>
      <c r="M5" s="242">
        <v>43462</v>
      </c>
      <c r="N5" s="241">
        <v>0.15</v>
      </c>
      <c r="O5" s="243">
        <v>0.3</v>
      </c>
      <c r="P5" s="241">
        <v>0.6</v>
      </c>
      <c r="Q5" s="241">
        <v>1</v>
      </c>
      <c r="R5" s="138" t="s">
        <v>500</v>
      </c>
      <c r="S5" s="139" t="s">
        <v>501</v>
      </c>
      <c r="T5" s="139" t="s">
        <v>502</v>
      </c>
      <c r="U5" s="144">
        <v>0.54</v>
      </c>
      <c r="V5" s="139" t="s">
        <v>986</v>
      </c>
      <c r="W5" s="139" t="s">
        <v>985</v>
      </c>
      <c r="X5" s="139" t="s">
        <v>967</v>
      </c>
      <c r="Y5" s="139">
        <f>108198905625.5/173748726901</f>
        <v>0.62273207726667534</v>
      </c>
      <c r="Z5" s="139" t="s">
        <v>1280</v>
      </c>
      <c r="AA5" s="125" t="s">
        <v>1281</v>
      </c>
      <c r="AB5" s="125" t="s">
        <v>967</v>
      </c>
      <c r="AC5" s="139"/>
      <c r="AD5" s="139"/>
      <c r="AE5" s="139"/>
      <c r="AF5" s="139"/>
    </row>
    <row r="6" spans="1:32" s="27" customFormat="1" ht="409.5">
      <c r="A6" s="482"/>
      <c r="B6" s="504"/>
      <c r="C6" s="373" t="s">
        <v>115</v>
      </c>
      <c r="D6" s="507">
        <v>0.08</v>
      </c>
      <c r="E6" s="378" t="s">
        <v>95</v>
      </c>
      <c r="F6" s="507">
        <v>1</v>
      </c>
      <c r="G6" s="378" t="s">
        <v>759</v>
      </c>
      <c r="H6" s="145" t="s">
        <v>760</v>
      </c>
      <c r="I6" s="244" t="s">
        <v>827</v>
      </c>
      <c r="J6" s="145" t="s">
        <v>151</v>
      </c>
      <c r="K6" s="145" t="s">
        <v>304</v>
      </c>
      <c r="L6" s="242">
        <v>43132</v>
      </c>
      <c r="M6" s="242">
        <v>43465</v>
      </c>
      <c r="N6" s="241">
        <v>0.15</v>
      </c>
      <c r="O6" s="243">
        <v>0.3</v>
      </c>
      <c r="P6" s="241">
        <v>0.7</v>
      </c>
      <c r="Q6" s="241">
        <v>1</v>
      </c>
      <c r="R6" s="139">
        <v>0</v>
      </c>
      <c r="S6" s="245" t="s">
        <v>761</v>
      </c>
      <c r="T6" s="245" t="s">
        <v>630</v>
      </c>
      <c r="U6" s="144">
        <v>0.15</v>
      </c>
      <c r="V6" s="139" t="s">
        <v>1066</v>
      </c>
      <c r="W6" s="139" t="s">
        <v>1067</v>
      </c>
      <c r="X6" s="139" t="s">
        <v>1068</v>
      </c>
      <c r="Y6" s="139">
        <v>0.61</v>
      </c>
      <c r="Z6" s="245" t="s">
        <v>1350</v>
      </c>
      <c r="AA6" s="245" t="s">
        <v>1351</v>
      </c>
      <c r="AB6" s="245" t="s">
        <v>1352</v>
      </c>
      <c r="AC6" s="245"/>
      <c r="AD6" s="245"/>
      <c r="AE6" s="245"/>
      <c r="AF6" s="245"/>
    </row>
    <row r="7" spans="1:32" s="27" customFormat="1" ht="409.5">
      <c r="A7" s="482"/>
      <c r="B7" s="504"/>
      <c r="C7" s="485"/>
      <c r="D7" s="508"/>
      <c r="E7" s="379"/>
      <c r="F7" s="508"/>
      <c r="G7" s="379"/>
      <c r="H7" s="151" t="s">
        <v>762</v>
      </c>
      <c r="I7" s="244" t="s">
        <v>802</v>
      </c>
      <c r="J7" s="145" t="s">
        <v>151</v>
      </c>
      <c r="K7" s="145" t="s">
        <v>304</v>
      </c>
      <c r="L7" s="242">
        <v>43132</v>
      </c>
      <c r="M7" s="242">
        <v>43465</v>
      </c>
      <c r="N7" s="164">
        <v>0.15</v>
      </c>
      <c r="O7" s="243">
        <v>0.3</v>
      </c>
      <c r="P7" s="241">
        <v>0.7</v>
      </c>
      <c r="Q7" s="241">
        <v>1</v>
      </c>
      <c r="R7" s="144" t="s">
        <v>420</v>
      </c>
      <c r="S7" s="246" t="s">
        <v>1184</v>
      </c>
      <c r="T7" s="144" t="s">
        <v>420</v>
      </c>
      <c r="U7" s="144">
        <f>134/437</f>
        <v>0.30663615560640733</v>
      </c>
      <c r="V7" s="139" t="s">
        <v>1072</v>
      </c>
      <c r="W7" s="139" t="s">
        <v>1069</v>
      </c>
      <c r="X7" s="139" t="s">
        <v>684</v>
      </c>
      <c r="Y7" s="139">
        <f>345/437</f>
        <v>0.78947368421052633</v>
      </c>
      <c r="Z7" s="245" t="s">
        <v>1353</v>
      </c>
      <c r="AA7" s="245" t="s">
        <v>1354</v>
      </c>
      <c r="AB7" s="245" t="s">
        <v>684</v>
      </c>
      <c r="AC7" s="246"/>
      <c r="AD7" s="246"/>
      <c r="AE7" s="246"/>
      <c r="AF7" s="246"/>
    </row>
    <row r="8" spans="1:32" s="27" customFormat="1" ht="171">
      <c r="A8" s="482"/>
      <c r="B8" s="504"/>
      <c r="C8" s="374"/>
      <c r="D8" s="509"/>
      <c r="E8" s="380"/>
      <c r="F8" s="509"/>
      <c r="G8" s="380"/>
      <c r="H8" s="151" t="s">
        <v>763</v>
      </c>
      <c r="I8" s="244" t="s">
        <v>803</v>
      </c>
      <c r="J8" s="145" t="s">
        <v>151</v>
      </c>
      <c r="K8" s="145" t="s">
        <v>304</v>
      </c>
      <c r="L8" s="242">
        <v>43132</v>
      </c>
      <c r="M8" s="242">
        <v>43465</v>
      </c>
      <c r="N8" s="164">
        <v>0.15</v>
      </c>
      <c r="O8" s="243">
        <v>0.3</v>
      </c>
      <c r="P8" s="241">
        <v>0.7</v>
      </c>
      <c r="Q8" s="241">
        <v>1</v>
      </c>
      <c r="R8" s="144" t="s">
        <v>420</v>
      </c>
      <c r="S8" s="246" t="s">
        <v>1184</v>
      </c>
      <c r="T8" s="144" t="s">
        <v>420</v>
      </c>
      <c r="U8" s="144">
        <f>12/42</f>
        <v>0.2857142857142857</v>
      </c>
      <c r="V8" s="139" t="s">
        <v>1071</v>
      </c>
      <c r="W8" s="139" t="s">
        <v>1070</v>
      </c>
      <c r="X8" s="139" t="s">
        <v>1068</v>
      </c>
      <c r="Y8" s="139">
        <f>38/42</f>
        <v>0.90476190476190477</v>
      </c>
      <c r="Z8" s="245" t="s">
        <v>1355</v>
      </c>
      <c r="AA8" s="245" t="s">
        <v>1356</v>
      </c>
      <c r="AB8" s="245" t="s">
        <v>1068</v>
      </c>
      <c r="AC8" s="246"/>
      <c r="AD8" s="246"/>
      <c r="AE8" s="246"/>
      <c r="AF8" s="246"/>
    </row>
    <row r="9" spans="1:32" s="27" customFormat="1" ht="409.5">
      <c r="A9" s="482"/>
      <c r="B9" s="504"/>
      <c r="C9" s="167" t="s">
        <v>116</v>
      </c>
      <c r="D9" s="247">
        <v>0.08</v>
      </c>
      <c r="E9" s="167" t="s">
        <v>95</v>
      </c>
      <c r="F9" s="247">
        <v>1</v>
      </c>
      <c r="G9" s="248" t="s">
        <v>764</v>
      </c>
      <c r="H9" s="145" t="s">
        <v>765</v>
      </c>
      <c r="I9" s="244" t="s">
        <v>825</v>
      </c>
      <c r="J9" s="145" t="s">
        <v>151</v>
      </c>
      <c r="K9" s="145" t="s">
        <v>304</v>
      </c>
      <c r="L9" s="242">
        <v>43132</v>
      </c>
      <c r="M9" s="242">
        <v>43465</v>
      </c>
      <c r="N9" s="241">
        <v>0.15</v>
      </c>
      <c r="O9" s="243">
        <v>0.3</v>
      </c>
      <c r="P9" s="241">
        <v>0.7</v>
      </c>
      <c r="Q9" s="241">
        <v>1</v>
      </c>
      <c r="R9" s="139">
        <v>0</v>
      </c>
      <c r="S9" s="245" t="s">
        <v>761</v>
      </c>
      <c r="T9" s="245" t="s">
        <v>630</v>
      </c>
      <c r="U9" s="144">
        <v>0</v>
      </c>
      <c r="V9" s="139" t="s">
        <v>1066</v>
      </c>
      <c r="W9" s="139" t="s">
        <v>1073</v>
      </c>
      <c r="X9" s="139" t="s">
        <v>1068</v>
      </c>
      <c r="Y9" s="245">
        <f>345/437</f>
        <v>0.78947368421052633</v>
      </c>
      <c r="Z9" s="245" t="s">
        <v>1353</v>
      </c>
      <c r="AA9" s="245" t="s">
        <v>1357</v>
      </c>
      <c r="AB9" s="245" t="s">
        <v>1068</v>
      </c>
      <c r="AC9" s="245"/>
      <c r="AD9" s="245"/>
      <c r="AE9" s="245"/>
      <c r="AF9" s="245"/>
    </row>
    <row r="10" spans="1:32" s="27" customFormat="1" ht="409.5">
      <c r="A10" s="482"/>
      <c r="B10" s="504"/>
      <c r="C10" s="168" t="s">
        <v>419</v>
      </c>
      <c r="D10" s="249">
        <v>0.08</v>
      </c>
      <c r="E10" s="168" t="s">
        <v>95</v>
      </c>
      <c r="F10" s="249">
        <v>1</v>
      </c>
      <c r="G10" s="168" t="s">
        <v>766</v>
      </c>
      <c r="H10" s="168" t="s">
        <v>766</v>
      </c>
      <c r="I10" s="244" t="s">
        <v>840</v>
      </c>
      <c r="J10" s="145" t="s">
        <v>151</v>
      </c>
      <c r="K10" s="145" t="s">
        <v>304</v>
      </c>
      <c r="L10" s="242">
        <v>43102</v>
      </c>
      <c r="M10" s="242">
        <v>43462</v>
      </c>
      <c r="N10" s="241">
        <v>0.15</v>
      </c>
      <c r="O10" s="243">
        <v>0.3</v>
      </c>
      <c r="P10" s="241">
        <v>0.7</v>
      </c>
      <c r="Q10" s="241">
        <v>1</v>
      </c>
      <c r="R10" s="139">
        <v>0.15</v>
      </c>
      <c r="S10" s="245" t="s">
        <v>631</v>
      </c>
      <c r="T10" s="245" t="s">
        <v>632</v>
      </c>
      <c r="U10" s="144">
        <f>10/30</f>
        <v>0.33333333333333331</v>
      </c>
      <c r="V10" s="139" t="s">
        <v>1076</v>
      </c>
      <c r="W10" s="139" t="s">
        <v>1074</v>
      </c>
      <c r="X10" s="139" t="s">
        <v>1075</v>
      </c>
      <c r="Y10" s="245">
        <f>18/30</f>
        <v>0.6</v>
      </c>
      <c r="Z10" s="245" t="s">
        <v>1358</v>
      </c>
      <c r="AA10" s="245" t="s">
        <v>1359</v>
      </c>
      <c r="AB10" s="245" t="s">
        <v>1360</v>
      </c>
      <c r="AC10" s="245"/>
      <c r="AD10" s="245"/>
      <c r="AE10" s="245"/>
      <c r="AF10" s="245"/>
    </row>
    <row r="11" spans="1:32" s="27" customFormat="1" ht="256.5">
      <c r="A11" s="482"/>
      <c r="B11" s="504"/>
      <c r="C11" s="240" t="s">
        <v>117</v>
      </c>
      <c r="D11" s="241">
        <v>0.05</v>
      </c>
      <c r="E11" s="240" t="s">
        <v>95</v>
      </c>
      <c r="F11" s="241">
        <v>1</v>
      </c>
      <c r="G11" s="240" t="s">
        <v>83</v>
      </c>
      <c r="H11" s="240" t="s">
        <v>83</v>
      </c>
      <c r="I11" s="244" t="s">
        <v>767</v>
      </c>
      <c r="J11" s="151" t="s">
        <v>152</v>
      </c>
      <c r="K11" s="145" t="s">
        <v>304</v>
      </c>
      <c r="L11" s="242">
        <v>43102</v>
      </c>
      <c r="M11" s="242">
        <v>43462</v>
      </c>
      <c r="N11" s="241">
        <v>0.25</v>
      </c>
      <c r="O11" s="243">
        <v>0.5</v>
      </c>
      <c r="P11" s="241">
        <v>0.75</v>
      </c>
      <c r="Q11" s="241">
        <v>1</v>
      </c>
      <c r="R11" s="139">
        <v>0.25</v>
      </c>
      <c r="S11" s="245" t="s">
        <v>673</v>
      </c>
      <c r="T11" s="245" t="s">
        <v>674</v>
      </c>
      <c r="U11" s="144">
        <v>0.5</v>
      </c>
      <c r="V11" s="147" t="s">
        <v>1050</v>
      </c>
      <c r="W11" s="246" t="s">
        <v>896</v>
      </c>
      <c r="X11" s="246" t="s">
        <v>897</v>
      </c>
      <c r="Y11" s="335">
        <v>0.75</v>
      </c>
      <c r="Z11" s="245" t="s">
        <v>1458</v>
      </c>
      <c r="AA11" s="245" t="s">
        <v>1459</v>
      </c>
      <c r="AB11" s="245" t="s">
        <v>1460</v>
      </c>
      <c r="AC11" s="245"/>
      <c r="AD11" s="245"/>
      <c r="AE11" s="245"/>
      <c r="AF11" s="245"/>
    </row>
    <row r="12" spans="1:32" s="27" customFormat="1" ht="405">
      <c r="A12" s="482"/>
      <c r="B12" s="504"/>
      <c r="C12" s="240" t="s">
        <v>118</v>
      </c>
      <c r="D12" s="241">
        <v>0.04</v>
      </c>
      <c r="E12" s="240" t="s">
        <v>95</v>
      </c>
      <c r="F12" s="241">
        <v>1</v>
      </c>
      <c r="G12" s="151" t="s">
        <v>109</v>
      </c>
      <c r="H12" s="145" t="s">
        <v>317</v>
      </c>
      <c r="I12" s="145" t="s">
        <v>842</v>
      </c>
      <c r="J12" s="145" t="s">
        <v>153</v>
      </c>
      <c r="K12" s="145" t="s">
        <v>312</v>
      </c>
      <c r="L12" s="242">
        <v>43102</v>
      </c>
      <c r="M12" s="242">
        <v>43462</v>
      </c>
      <c r="N12" s="241">
        <v>1</v>
      </c>
      <c r="O12" s="243">
        <v>1</v>
      </c>
      <c r="P12" s="241">
        <v>1</v>
      </c>
      <c r="Q12" s="241">
        <v>1</v>
      </c>
      <c r="R12" s="139">
        <v>1</v>
      </c>
      <c r="S12" s="139" t="s">
        <v>612</v>
      </c>
      <c r="T12" s="139" t="s">
        <v>613</v>
      </c>
      <c r="U12" s="250">
        <v>1</v>
      </c>
      <c r="V12" s="191" t="s">
        <v>1171</v>
      </c>
      <c r="W12" s="192" t="s">
        <v>987</v>
      </c>
      <c r="X12" s="193" t="s">
        <v>613</v>
      </c>
      <c r="Y12" s="309">
        <v>1</v>
      </c>
      <c r="Z12" s="310" t="s">
        <v>1328</v>
      </c>
      <c r="AA12" s="311" t="s">
        <v>1329</v>
      </c>
      <c r="AB12" s="310" t="s">
        <v>613</v>
      </c>
      <c r="AC12" s="139"/>
      <c r="AD12" s="139"/>
      <c r="AE12" s="139"/>
      <c r="AF12" s="139"/>
    </row>
    <row r="13" spans="1:32" s="27" customFormat="1" ht="409.5">
      <c r="A13" s="482"/>
      <c r="B13" s="483" t="s">
        <v>84</v>
      </c>
      <c r="C13" s="240" t="s">
        <v>119</v>
      </c>
      <c r="D13" s="241">
        <v>0.04</v>
      </c>
      <c r="E13" s="240" t="s">
        <v>95</v>
      </c>
      <c r="F13" s="241">
        <v>1</v>
      </c>
      <c r="G13" s="240" t="s">
        <v>768</v>
      </c>
      <c r="H13" s="145" t="s">
        <v>318</v>
      </c>
      <c r="I13" s="251" t="s">
        <v>846</v>
      </c>
      <c r="J13" s="145" t="s">
        <v>153</v>
      </c>
      <c r="K13" s="145" t="s">
        <v>312</v>
      </c>
      <c r="L13" s="242">
        <v>43102</v>
      </c>
      <c r="M13" s="242">
        <v>43462</v>
      </c>
      <c r="N13" s="241">
        <v>0.1</v>
      </c>
      <c r="O13" s="243">
        <v>0.3</v>
      </c>
      <c r="P13" s="241">
        <v>0.7</v>
      </c>
      <c r="Q13" s="241">
        <v>1</v>
      </c>
      <c r="R13" s="139">
        <v>0.1</v>
      </c>
      <c r="S13" s="139" t="s">
        <v>610</v>
      </c>
      <c r="T13" s="139" t="s">
        <v>611</v>
      </c>
      <c r="U13" s="250">
        <v>1</v>
      </c>
      <c r="V13" s="191" t="s">
        <v>1172</v>
      </c>
      <c r="W13" s="192" t="s">
        <v>993</v>
      </c>
      <c r="X13" s="191" t="s">
        <v>611</v>
      </c>
      <c r="Y13" s="309">
        <v>1</v>
      </c>
      <c r="Z13" s="310" t="s">
        <v>1330</v>
      </c>
      <c r="AA13" s="311" t="s">
        <v>1331</v>
      </c>
      <c r="AB13" s="310" t="s">
        <v>611</v>
      </c>
      <c r="AC13" s="139"/>
      <c r="AD13" s="139"/>
      <c r="AE13" s="139"/>
      <c r="AF13" s="139"/>
    </row>
    <row r="14" spans="1:32" s="27" customFormat="1" ht="409.5">
      <c r="A14" s="482"/>
      <c r="B14" s="484"/>
      <c r="C14" s="373" t="s">
        <v>120</v>
      </c>
      <c r="D14" s="505">
        <v>0.01</v>
      </c>
      <c r="E14" s="373" t="s">
        <v>95</v>
      </c>
      <c r="F14" s="505">
        <v>1</v>
      </c>
      <c r="G14" s="151" t="s">
        <v>421</v>
      </c>
      <c r="H14" s="145" t="s">
        <v>421</v>
      </c>
      <c r="I14" s="145" t="s">
        <v>829</v>
      </c>
      <c r="J14" s="145" t="s">
        <v>149</v>
      </c>
      <c r="K14" s="145" t="s">
        <v>312</v>
      </c>
      <c r="L14" s="242">
        <v>43102</v>
      </c>
      <c r="M14" s="242">
        <v>43373</v>
      </c>
      <c r="N14" s="241">
        <v>0.35</v>
      </c>
      <c r="O14" s="243">
        <v>0.7</v>
      </c>
      <c r="P14" s="241">
        <v>1</v>
      </c>
      <c r="Q14" s="241">
        <v>1</v>
      </c>
      <c r="R14" s="138">
        <v>0.35</v>
      </c>
      <c r="S14" s="139" t="s">
        <v>570</v>
      </c>
      <c r="T14" s="139" t="s">
        <v>571</v>
      </c>
      <c r="U14" s="144">
        <v>1</v>
      </c>
      <c r="V14" s="139" t="s">
        <v>1002</v>
      </c>
      <c r="W14" s="139" t="s">
        <v>997</v>
      </c>
      <c r="X14" s="139" t="s">
        <v>998</v>
      </c>
      <c r="Y14" s="139">
        <v>1</v>
      </c>
      <c r="Z14" s="139" t="s">
        <v>1002</v>
      </c>
      <c r="AA14" s="139" t="s">
        <v>1303</v>
      </c>
      <c r="AB14" s="139" t="s">
        <v>998</v>
      </c>
      <c r="AC14" s="139"/>
      <c r="AD14" s="139"/>
      <c r="AE14" s="139"/>
      <c r="AF14" s="139"/>
    </row>
    <row r="15" spans="1:32" s="27" customFormat="1" ht="210">
      <c r="A15" s="482"/>
      <c r="B15" s="484"/>
      <c r="C15" s="374"/>
      <c r="D15" s="506"/>
      <c r="E15" s="374"/>
      <c r="F15" s="506"/>
      <c r="G15" s="151" t="s">
        <v>85</v>
      </c>
      <c r="H15" s="145" t="s">
        <v>330</v>
      </c>
      <c r="I15" s="145" t="s">
        <v>707</v>
      </c>
      <c r="J15" s="145" t="s">
        <v>149</v>
      </c>
      <c r="K15" s="145" t="s">
        <v>312</v>
      </c>
      <c r="L15" s="242">
        <v>43102</v>
      </c>
      <c r="M15" s="242">
        <v>43462</v>
      </c>
      <c r="N15" s="241">
        <v>0.15</v>
      </c>
      <c r="O15" s="243">
        <v>0.3</v>
      </c>
      <c r="P15" s="241">
        <v>0.7</v>
      </c>
      <c r="Q15" s="241">
        <v>1</v>
      </c>
      <c r="R15" s="138">
        <v>0.15</v>
      </c>
      <c r="S15" s="139" t="s">
        <v>572</v>
      </c>
      <c r="T15" s="139" t="s">
        <v>573</v>
      </c>
      <c r="U15" s="144">
        <v>0.3</v>
      </c>
      <c r="V15" s="252">
        <v>4.55</v>
      </c>
      <c r="W15" s="253" t="s">
        <v>999</v>
      </c>
      <c r="X15" s="139" t="s">
        <v>573</v>
      </c>
      <c r="Y15" s="139">
        <v>0.7</v>
      </c>
      <c r="Z15" s="252">
        <v>4.47</v>
      </c>
      <c r="AA15" s="253" t="s">
        <v>1304</v>
      </c>
      <c r="AB15" s="139" t="s">
        <v>573</v>
      </c>
      <c r="AC15" s="139"/>
      <c r="AD15" s="139"/>
      <c r="AE15" s="139"/>
      <c r="AF15" s="139"/>
    </row>
    <row r="16" spans="1:32" s="27" customFormat="1" ht="409.5">
      <c r="A16" s="482"/>
      <c r="B16" s="484"/>
      <c r="C16" s="240" t="s">
        <v>422</v>
      </c>
      <c r="D16" s="241">
        <v>0.01</v>
      </c>
      <c r="E16" s="240" t="s">
        <v>95</v>
      </c>
      <c r="F16" s="241">
        <v>1</v>
      </c>
      <c r="G16" s="240" t="s">
        <v>423</v>
      </c>
      <c r="H16" s="240" t="s">
        <v>423</v>
      </c>
      <c r="I16" s="240" t="s">
        <v>830</v>
      </c>
      <c r="J16" s="145" t="s">
        <v>149</v>
      </c>
      <c r="K16" s="145" t="s">
        <v>334</v>
      </c>
      <c r="L16" s="242">
        <v>43191</v>
      </c>
      <c r="M16" s="242">
        <v>43465</v>
      </c>
      <c r="N16" s="241">
        <v>0</v>
      </c>
      <c r="O16" s="243">
        <v>0.5</v>
      </c>
      <c r="P16" s="241">
        <v>0</v>
      </c>
      <c r="Q16" s="241">
        <v>1</v>
      </c>
      <c r="R16" s="138">
        <v>0.2</v>
      </c>
      <c r="S16" s="139" t="s">
        <v>574</v>
      </c>
      <c r="T16" s="139" t="s">
        <v>575</v>
      </c>
      <c r="U16" s="144">
        <v>0.75</v>
      </c>
      <c r="V16" s="139" t="s">
        <v>1005</v>
      </c>
      <c r="W16" s="253" t="s">
        <v>1000</v>
      </c>
      <c r="X16" s="139" t="s">
        <v>1001</v>
      </c>
      <c r="Y16" s="139">
        <v>1</v>
      </c>
      <c r="Z16" s="139" t="s">
        <v>1305</v>
      </c>
      <c r="AA16" s="139" t="s">
        <v>1306</v>
      </c>
      <c r="AB16" s="139" t="s">
        <v>1307</v>
      </c>
      <c r="AC16" s="139"/>
      <c r="AD16" s="139"/>
      <c r="AE16" s="139"/>
      <c r="AF16" s="139"/>
    </row>
    <row r="17" spans="1:32" s="27" customFormat="1" ht="327.75">
      <c r="A17" s="482"/>
      <c r="B17" s="484"/>
      <c r="C17" s="240" t="s">
        <v>424</v>
      </c>
      <c r="D17" s="241">
        <v>0.01</v>
      </c>
      <c r="E17" s="240" t="s">
        <v>425</v>
      </c>
      <c r="F17" s="262">
        <v>10</v>
      </c>
      <c r="G17" s="240" t="s">
        <v>426</v>
      </c>
      <c r="H17" s="240" t="s">
        <v>427</v>
      </c>
      <c r="I17" s="240" t="s">
        <v>898</v>
      </c>
      <c r="J17" s="145" t="s">
        <v>149</v>
      </c>
      <c r="K17" s="145" t="s">
        <v>334</v>
      </c>
      <c r="L17" s="242">
        <v>43101</v>
      </c>
      <c r="M17" s="242">
        <v>43465</v>
      </c>
      <c r="N17" s="241">
        <v>0.25</v>
      </c>
      <c r="O17" s="243">
        <v>0.5</v>
      </c>
      <c r="P17" s="241">
        <v>0.75</v>
      </c>
      <c r="Q17" s="241">
        <v>1</v>
      </c>
      <c r="R17" s="138">
        <v>0.25</v>
      </c>
      <c r="S17" s="139" t="s">
        <v>576</v>
      </c>
      <c r="T17" s="139" t="s">
        <v>577</v>
      </c>
      <c r="U17" s="144">
        <v>0.5</v>
      </c>
      <c r="V17" s="139" t="s">
        <v>1006</v>
      </c>
      <c r="W17" s="139" t="s">
        <v>1003</v>
      </c>
      <c r="X17" s="139" t="s">
        <v>1004</v>
      </c>
      <c r="Y17" s="139">
        <v>0.75</v>
      </c>
      <c r="Z17" s="139" t="s">
        <v>1308</v>
      </c>
      <c r="AA17" s="139" t="s">
        <v>1309</v>
      </c>
      <c r="AB17" s="139" t="s">
        <v>1310</v>
      </c>
      <c r="AC17" s="139"/>
      <c r="AD17" s="139"/>
      <c r="AE17" s="139"/>
      <c r="AF17" s="139"/>
    </row>
    <row r="18" spans="1:32" s="27" customFormat="1" ht="213.75">
      <c r="A18" s="482"/>
      <c r="B18" s="484"/>
      <c r="C18" s="240" t="s">
        <v>429</v>
      </c>
      <c r="D18" s="241">
        <v>0.01</v>
      </c>
      <c r="E18" s="240" t="s">
        <v>425</v>
      </c>
      <c r="F18" s="243">
        <v>0.5</v>
      </c>
      <c r="G18" s="240" t="s">
        <v>428</v>
      </c>
      <c r="H18" s="240" t="s">
        <v>428</v>
      </c>
      <c r="I18" s="240" t="s">
        <v>429</v>
      </c>
      <c r="J18" s="145" t="s">
        <v>149</v>
      </c>
      <c r="K18" s="145" t="s">
        <v>334</v>
      </c>
      <c r="L18" s="242">
        <v>43191</v>
      </c>
      <c r="M18" s="242">
        <v>43465</v>
      </c>
      <c r="N18" s="241">
        <v>0</v>
      </c>
      <c r="O18" s="243">
        <v>0.5</v>
      </c>
      <c r="P18" s="241">
        <v>0</v>
      </c>
      <c r="Q18" s="241">
        <v>1</v>
      </c>
      <c r="R18" s="138">
        <v>0.25</v>
      </c>
      <c r="S18" s="139" t="s">
        <v>578</v>
      </c>
      <c r="T18" s="138" t="s">
        <v>579</v>
      </c>
      <c r="U18" s="144">
        <f>3/4</f>
        <v>0.75</v>
      </c>
      <c r="V18" s="139" t="s">
        <v>1005</v>
      </c>
      <c r="W18" s="139" t="s">
        <v>1007</v>
      </c>
      <c r="X18" s="139" t="s">
        <v>1008</v>
      </c>
      <c r="Y18" s="139">
        <v>1</v>
      </c>
      <c r="Z18" s="139" t="s">
        <v>1305</v>
      </c>
      <c r="AA18" s="139" t="s">
        <v>1311</v>
      </c>
      <c r="AB18" s="139" t="s">
        <v>1312</v>
      </c>
      <c r="AC18" s="139"/>
      <c r="AD18" s="139"/>
      <c r="AE18" s="139"/>
      <c r="AF18" s="139"/>
    </row>
    <row r="19" spans="1:32" s="27" customFormat="1" ht="285">
      <c r="A19" s="482"/>
      <c r="B19" s="484"/>
      <c r="C19" s="145" t="s">
        <v>430</v>
      </c>
      <c r="D19" s="241">
        <v>0.01</v>
      </c>
      <c r="E19" s="240" t="s">
        <v>95</v>
      </c>
      <c r="F19" s="241">
        <v>1</v>
      </c>
      <c r="G19" s="240" t="s">
        <v>431</v>
      </c>
      <c r="H19" s="240" t="s">
        <v>431</v>
      </c>
      <c r="I19" s="145" t="s">
        <v>831</v>
      </c>
      <c r="J19" s="145" t="s">
        <v>149</v>
      </c>
      <c r="K19" s="145" t="s">
        <v>334</v>
      </c>
      <c r="L19" s="242">
        <v>43282</v>
      </c>
      <c r="M19" s="242">
        <v>43465</v>
      </c>
      <c r="N19" s="241">
        <v>0</v>
      </c>
      <c r="O19" s="241">
        <v>0</v>
      </c>
      <c r="P19" s="241">
        <v>0.5</v>
      </c>
      <c r="Q19" s="241">
        <v>1</v>
      </c>
      <c r="R19" s="138">
        <v>0.1</v>
      </c>
      <c r="S19" s="139" t="s">
        <v>580</v>
      </c>
      <c r="T19" s="139" t="s">
        <v>581</v>
      </c>
      <c r="U19" s="144">
        <v>1</v>
      </c>
      <c r="V19" s="139" t="s">
        <v>1011</v>
      </c>
      <c r="W19" s="139" t="s">
        <v>1009</v>
      </c>
      <c r="X19" s="139" t="s">
        <v>1010</v>
      </c>
      <c r="Y19" s="139">
        <v>1</v>
      </c>
      <c r="Z19" s="139" t="s">
        <v>1011</v>
      </c>
      <c r="AA19" s="139" t="s">
        <v>1303</v>
      </c>
      <c r="AB19" s="139" t="s">
        <v>1010</v>
      </c>
      <c r="AC19" s="139"/>
      <c r="AD19" s="139"/>
      <c r="AE19" s="139"/>
      <c r="AF19" s="139"/>
    </row>
    <row r="20" spans="1:32" s="27" customFormat="1" ht="242.25">
      <c r="A20" s="482"/>
      <c r="B20" s="484"/>
      <c r="C20" s="240" t="s">
        <v>432</v>
      </c>
      <c r="D20" s="241">
        <v>0.01</v>
      </c>
      <c r="E20" s="240" t="s">
        <v>433</v>
      </c>
      <c r="F20" s="241">
        <v>0.05</v>
      </c>
      <c r="G20" s="240" t="s">
        <v>434</v>
      </c>
      <c r="H20" s="240" t="s">
        <v>435</v>
      </c>
      <c r="I20" s="240" t="s">
        <v>832</v>
      </c>
      <c r="J20" s="145" t="s">
        <v>149</v>
      </c>
      <c r="K20" s="145" t="s">
        <v>334</v>
      </c>
      <c r="L20" s="242">
        <v>43191</v>
      </c>
      <c r="M20" s="242">
        <v>43465</v>
      </c>
      <c r="N20" s="241">
        <v>0</v>
      </c>
      <c r="O20" s="243">
        <v>0.5</v>
      </c>
      <c r="P20" s="241">
        <v>0.75</v>
      </c>
      <c r="Q20" s="241">
        <v>1</v>
      </c>
      <c r="R20" s="138">
        <v>0.25</v>
      </c>
      <c r="S20" s="139" t="s">
        <v>582</v>
      </c>
      <c r="T20" s="139" t="s">
        <v>583</v>
      </c>
      <c r="U20" s="144">
        <v>0.5</v>
      </c>
      <c r="V20" s="139" t="s">
        <v>1014</v>
      </c>
      <c r="W20" s="139" t="s">
        <v>1012</v>
      </c>
      <c r="X20" s="139" t="s">
        <v>1013</v>
      </c>
      <c r="Y20" s="139">
        <v>0.75</v>
      </c>
      <c r="Z20" s="139" t="s">
        <v>1313</v>
      </c>
      <c r="AA20" s="139" t="s">
        <v>1314</v>
      </c>
      <c r="AB20" s="139" t="s">
        <v>1013</v>
      </c>
      <c r="AC20" s="139"/>
      <c r="AD20" s="139"/>
      <c r="AE20" s="139"/>
      <c r="AF20" s="139"/>
    </row>
    <row r="21" spans="1:32" s="27" customFormat="1" ht="409.5">
      <c r="A21" s="482"/>
      <c r="B21" s="484"/>
      <c r="C21" s="240" t="s">
        <v>436</v>
      </c>
      <c r="D21" s="241">
        <v>0.01</v>
      </c>
      <c r="E21" s="240" t="s">
        <v>433</v>
      </c>
      <c r="F21" s="241">
        <v>0.5</v>
      </c>
      <c r="G21" s="240" t="s">
        <v>437</v>
      </c>
      <c r="H21" s="240" t="s">
        <v>437</v>
      </c>
      <c r="I21" s="240" t="s">
        <v>833</v>
      </c>
      <c r="J21" s="145" t="s">
        <v>149</v>
      </c>
      <c r="K21" s="145" t="s">
        <v>334</v>
      </c>
      <c r="L21" s="242">
        <v>43191</v>
      </c>
      <c r="M21" s="242">
        <v>43465</v>
      </c>
      <c r="N21" s="241">
        <v>0</v>
      </c>
      <c r="O21" s="243">
        <v>0.5</v>
      </c>
      <c r="P21" s="241">
        <v>0</v>
      </c>
      <c r="Q21" s="241">
        <v>1</v>
      </c>
      <c r="R21" s="254">
        <v>0.25</v>
      </c>
      <c r="S21" s="139" t="s">
        <v>584</v>
      </c>
      <c r="T21" s="139" t="s">
        <v>585</v>
      </c>
      <c r="U21" s="144">
        <v>0.5</v>
      </c>
      <c r="V21" s="139" t="s">
        <v>1017</v>
      </c>
      <c r="W21" s="139" t="s">
        <v>1015</v>
      </c>
      <c r="X21" s="139" t="s">
        <v>1016</v>
      </c>
      <c r="Y21" s="139">
        <v>0.75</v>
      </c>
      <c r="Z21" s="139" t="s">
        <v>1315</v>
      </c>
      <c r="AA21" s="139" t="s">
        <v>1316</v>
      </c>
      <c r="AB21" s="139" t="s">
        <v>1317</v>
      </c>
      <c r="AC21" s="139"/>
      <c r="AD21" s="139"/>
      <c r="AE21" s="139"/>
      <c r="AF21" s="139"/>
    </row>
    <row r="22" spans="1:32" s="27" customFormat="1" ht="342">
      <c r="A22" s="482"/>
      <c r="B22" s="484"/>
      <c r="C22" s="240" t="s">
        <v>121</v>
      </c>
      <c r="D22" s="241">
        <v>0.1</v>
      </c>
      <c r="E22" s="240" t="s">
        <v>95</v>
      </c>
      <c r="F22" s="241">
        <v>1</v>
      </c>
      <c r="G22" s="240" t="s">
        <v>769</v>
      </c>
      <c r="H22" s="240" t="s">
        <v>769</v>
      </c>
      <c r="I22" s="167" t="s">
        <v>770</v>
      </c>
      <c r="J22" s="151" t="s">
        <v>826</v>
      </c>
      <c r="K22" s="145" t="s">
        <v>312</v>
      </c>
      <c r="L22" s="242">
        <v>43102</v>
      </c>
      <c r="M22" s="242">
        <v>43462</v>
      </c>
      <c r="N22" s="241">
        <v>0.15</v>
      </c>
      <c r="O22" s="243">
        <v>0.4</v>
      </c>
      <c r="P22" s="241">
        <v>0.7</v>
      </c>
      <c r="Q22" s="241">
        <v>1</v>
      </c>
      <c r="R22" s="138">
        <v>0.15</v>
      </c>
      <c r="S22" s="139" t="s">
        <v>587</v>
      </c>
      <c r="T22" s="139" t="s">
        <v>586</v>
      </c>
      <c r="U22" s="144">
        <v>0.3</v>
      </c>
      <c r="V22" s="144" t="s">
        <v>1029</v>
      </c>
      <c r="W22" s="144" t="s">
        <v>1027</v>
      </c>
      <c r="X22" s="228" t="s">
        <v>1028</v>
      </c>
      <c r="Y22" s="139">
        <v>0.4</v>
      </c>
      <c r="Z22" s="144" t="s">
        <v>1029</v>
      </c>
      <c r="AA22" s="139" t="s">
        <v>1461</v>
      </c>
      <c r="AB22" s="139" t="s">
        <v>1480</v>
      </c>
      <c r="AC22" s="139"/>
      <c r="AD22" s="139"/>
      <c r="AE22" s="139"/>
      <c r="AF22" s="139"/>
    </row>
    <row r="23" spans="1:32" s="27" customFormat="1" ht="409.5">
      <c r="A23" s="482"/>
      <c r="B23" s="484"/>
      <c r="C23" s="240" t="s">
        <v>122</v>
      </c>
      <c r="D23" s="241">
        <v>0.05</v>
      </c>
      <c r="E23" s="240" t="s">
        <v>95</v>
      </c>
      <c r="F23" s="241">
        <v>1</v>
      </c>
      <c r="G23" s="145" t="s">
        <v>446</v>
      </c>
      <c r="H23" s="145" t="s">
        <v>110</v>
      </c>
      <c r="I23" s="145" t="s">
        <v>771</v>
      </c>
      <c r="J23" s="145" t="s">
        <v>146</v>
      </c>
      <c r="K23" s="145" t="s">
        <v>312</v>
      </c>
      <c r="L23" s="242">
        <v>43102</v>
      </c>
      <c r="M23" s="242">
        <v>43462</v>
      </c>
      <c r="N23" s="241">
        <v>0.25</v>
      </c>
      <c r="O23" s="243">
        <v>0.5</v>
      </c>
      <c r="P23" s="241">
        <v>0.75</v>
      </c>
      <c r="Q23" s="241">
        <v>1</v>
      </c>
      <c r="R23" s="138">
        <v>0.25</v>
      </c>
      <c r="S23" s="139" t="s">
        <v>677</v>
      </c>
      <c r="T23" s="139" t="s">
        <v>684</v>
      </c>
      <c r="U23" s="144">
        <v>0.5</v>
      </c>
      <c r="V23" s="144" t="s">
        <v>1137</v>
      </c>
      <c r="W23" s="144" t="s">
        <v>1139</v>
      </c>
      <c r="X23" s="144" t="s">
        <v>1140</v>
      </c>
      <c r="Y23" s="139">
        <v>0.7</v>
      </c>
      <c r="Z23" s="139" t="s">
        <v>1462</v>
      </c>
      <c r="AA23" s="139" t="s">
        <v>1463</v>
      </c>
      <c r="AB23" s="144" t="s">
        <v>1140</v>
      </c>
      <c r="AC23" s="139"/>
      <c r="AD23" s="139"/>
      <c r="AE23" s="139"/>
      <c r="AF23" s="139"/>
    </row>
    <row r="24" spans="1:32" s="27" customFormat="1" ht="409.5">
      <c r="A24" s="482"/>
      <c r="B24" s="484"/>
      <c r="C24" s="240" t="s">
        <v>123</v>
      </c>
      <c r="D24" s="241">
        <v>0.05</v>
      </c>
      <c r="E24" s="240" t="s">
        <v>95</v>
      </c>
      <c r="F24" s="241">
        <v>1</v>
      </c>
      <c r="G24" s="240" t="s">
        <v>331</v>
      </c>
      <c r="H24" s="240" t="s">
        <v>332</v>
      </c>
      <c r="I24" s="145" t="s">
        <v>772</v>
      </c>
      <c r="J24" s="145" t="s">
        <v>146</v>
      </c>
      <c r="K24" s="145" t="s">
        <v>312</v>
      </c>
      <c r="L24" s="242">
        <v>43102</v>
      </c>
      <c r="M24" s="242">
        <v>43462</v>
      </c>
      <c r="N24" s="241">
        <v>0.25</v>
      </c>
      <c r="O24" s="243">
        <v>0.5</v>
      </c>
      <c r="P24" s="241">
        <v>0.75</v>
      </c>
      <c r="Q24" s="241">
        <v>1</v>
      </c>
      <c r="R24" s="138">
        <v>0.25</v>
      </c>
      <c r="S24" s="139" t="s">
        <v>678</v>
      </c>
      <c r="T24" s="139" t="s">
        <v>684</v>
      </c>
      <c r="U24" s="144">
        <v>0.5</v>
      </c>
      <c r="V24" s="155" t="s">
        <v>1051</v>
      </c>
      <c r="W24" s="144" t="s">
        <v>1138</v>
      </c>
      <c r="X24" s="144" t="s">
        <v>1052</v>
      </c>
      <c r="Y24" s="144">
        <v>0.88</v>
      </c>
      <c r="Z24" s="155" t="s">
        <v>1051</v>
      </c>
      <c r="AA24" s="144" t="s">
        <v>1433</v>
      </c>
      <c r="AB24" s="144" t="s">
        <v>1432</v>
      </c>
      <c r="AC24" s="139"/>
      <c r="AD24" s="139"/>
      <c r="AE24" s="139"/>
      <c r="AF24" s="139"/>
    </row>
    <row r="25" spans="1:32" s="27" customFormat="1" ht="409.5">
      <c r="A25" s="482"/>
      <c r="B25" s="484"/>
      <c r="C25" s="240" t="s">
        <v>124</v>
      </c>
      <c r="D25" s="241">
        <v>0.04</v>
      </c>
      <c r="E25" s="240" t="s">
        <v>95</v>
      </c>
      <c r="F25" s="241">
        <v>1</v>
      </c>
      <c r="G25" s="145" t="s">
        <v>88</v>
      </c>
      <c r="H25" s="145" t="s">
        <v>88</v>
      </c>
      <c r="I25" s="145" t="s">
        <v>773</v>
      </c>
      <c r="J25" s="145" t="s">
        <v>146</v>
      </c>
      <c r="K25" s="145" t="s">
        <v>312</v>
      </c>
      <c r="L25" s="242">
        <v>43102</v>
      </c>
      <c r="M25" s="242">
        <v>43462</v>
      </c>
      <c r="N25" s="241">
        <v>0.1</v>
      </c>
      <c r="O25" s="243">
        <v>0.3</v>
      </c>
      <c r="P25" s="241">
        <v>0.7</v>
      </c>
      <c r="Q25" s="241">
        <v>1</v>
      </c>
      <c r="R25" s="138">
        <v>0.2</v>
      </c>
      <c r="S25" s="139" t="s">
        <v>1186</v>
      </c>
      <c r="T25" s="139" t="s">
        <v>684</v>
      </c>
      <c r="U25" s="144">
        <f>+'DIRECCIONAMIENTO ESTRATEGICO'!U18</f>
        <v>0.65</v>
      </c>
      <c r="V25" s="139" t="str">
        <f>+'DIRECCIONAMIENTO ESTRATEGICO'!V18</f>
        <v>(3/5)*100= 60%</v>
      </c>
      <c r="W25" s="139" t="str">
        <f>+'DIRECCIONAMIENTO ESTRATEGICO'!W18</f>
        <v xml:space="preserve">Se están realizando las adaptaciones del Cat-Icfes (motor adaptativo y Plexy), de acuerdo a las sugerencias realizadas por el asesor internacional.  En el mes de junio, se organizó una agenda de trabajo para la visita del asesor en la semana del 25 al 29 de Junio, se realizaron jornadas de trabajo en las cuales se abordaron temas como: Propuesta de Prueba Adaptativa (CAT) para el piloto Pre Saber, CAT-Icfes (motor adaptativo y plataforma Plexy), diseño de evaluaciones educativas, niveles de desempeño, y por último se recibieron recomendaciones y sugerencias para el desarrollo del piloto. </v>
      </c>
      <c r="X25" s="139" t="str">
        <f>+'DIRECCIONAMIENTO ESTRATEGICO'!X18</f>
        <v>Los resultados de los informes finales enviados por el asesor, y el seguimiento a actividades se encuentran en el siguiente link: 
https://drive.google.com/drive/folders/1CXUhnfeH-zb1cAxMbGDcVCe_Rka474od</v>
      </c>
      <c r="Y25" s="139">
        <f>'DIRECCIONAMIENTO ESTRATEGICO'!Y18</f>
        <v>0.7</v>
      </c>
      <c r="Z25" s="139" t="str">
        <f>'DIRECCIONAMIENTO ESTRATEGICO'!Z18</f>
        <v>(5/5)*100=100%</v>
      </c>
      <c r="AA25" s="139" t="str">
        <f>'DIRECCIONAMIENTO ESTRATEGICO'!AA18</f>
        <v>En este trimestre se hicieron adelantos con respecto al motor adaptativo de las 5 subpruebas que componen la prueba PreSaber, lo que permitió el cumplimiento total del indicador de la actividad. Así mismo, en el marco de la asesoría del consultor internacional, se realizó  un taller de dos días en el mes agosto dirigido al personal de las tres subdirecciones de la Dirección de Evaluación en el cual se abordó el tema de Pruebas Adaptativas y TRI (Teoría de respuesta del ítem).
Cabe resaltar, que se acordó con la OAP realizar un ajuste en cuanto a las actividades establecidas para el proyecto como tal, teniendo en cuenta que no se alcanzarían a tener todas la condiciones necesarias para efectuar el piloto de manera efectiva en agosto; de esta forma se estableció que en el mes de febrero de 2019 se realizará la aplicación piloto de esta prueba adapatativa, logrando en este tiempo  mejorar aspectos técnicos del CAT-Icfes tales como la inclusión de servicios (recordar examinado, recordar ítem, puntaje global al final de la prueba, carga de items desde el inicio), y de la plataforma Plexi.</v>
      </c>
      <c r="AB25" s="139" t="str">
        <f>'DIRECCIONAMIENTO ESTRATEGICO'!AB18</f>
        <v>Carpeta compartida de Drive. Organización de parte técnica del código (Subdirección de Estadísticas) https://drive.google.com/drive/folders/1p1N6qTWgfptRfqOOTAWVpRQzhqBwaqas 
Productos entregados por el profesor Mark Reckase en el marco contractual (CPS 135 de 2018)</v>
      </c>
      <c r="AC25" s="139"/>
      <c r="AD25" s="139"/>
      <c r="AE25" s="139"/>
      <c r="AF25" s="139"/>
    </row>
    <row r="26" spans="1:32" s="27" customFormat="1" ht="409.5">
      <c r="A26" s="373" t="s">
        <v>185</v>
      </c>
      <c r="B26" s="373" t="s">
        <v>204</v>
      </c>
      <c r="C26" s="373" t="s">
        <v>203</v>
      </c>
      <c r="D26" s="378" t="s">
        <v>249</v>
      </c>
      <c r="E26" s="373" t="s">
        <v>95</v>
      </c>
      <c r="F26" s="491">
        <v>1</v>
      </c>
      <c r="G26" s="378" t="s">
        <v>448</v>
      </c>
      <c r="H26" s="145" t="s">
        <v>449</v>
      </c>
      <c r="I26" s="190" t="s">
        <v>800</v>
      </c>
      <c r="J26" s="496" t="s">
        <v>151</v>
      </c>
      <c r="K26" s="240" t="s">
        <v>306</v>
      </c>
      <c r="L26" s="486">
        <v>43102</v>
      </c>
      <c r="M26" s="486">
        <v>43465</v>
      </c>
      <c r="N26" s="241">
        <v>0.25</v>
      </c>
      <c r="O26" s="243">
        <v>0.5</v>
      </c>
      <c r="P26" s="241">
        <v>0.75</v>
      </c>
      <c r="Q26" s="241">
        <v>1</v>
      </c>
      <c r="R26" s="139">
        <v>0.25</v>
      </c>
      <c r="S26" s="245" t="s">
        <v>634</v>
      </c>
      <c r="T26" s="139" t="s">
        <v>684</v>
      </c>
      <c r="U26" s="144">
        <f>2/4</f>
        <v>0.5</v>
      </c>
      <c r="V26" s="155" t="s">
        <v>1078</v>
      </c>
      <c r="W26" s="144" t="s">
        <v>1077</v>
      </c>
      <c r="X26" s="144" t="s">
        <v>684</v>
      </c>
      <c r="Y26" s="139">
        <f>2/4</f>
        <v>0.5</v>
      </c>
      <c r="Z26" s="139" t="s">
        <v>1361</v>
      </c>
      <c r="AA26" s="139" t="s">
        <v>1362</v>
      </c>
      <c r="AB26" s="139" t="s">
        <v>684</v>
      </c>
      <c r="AC26" s="245"/>
      <c r="AD26" s="245"/>
      <c r="AE26" s="245"/>
      <c r="AF26" s="245"/>
    </row>
    <row r="27" spans="1:32" s="27" customFormat="1" ht="313.5">
      <c r="A27" s="485"/>
      <c r="B27" s="485"/>
      <c r="C27" s="485"/>
      <c r="D27" s="379"/>
      <c r="E27" s="485"/>
      <c r="F27" s="492"/>
      <c r="G27" s="380"/>
      <c r="H27" s="145" t="s">
        <v>450</v>
      </c>
      <c r="I27" s="151" t="s">
        <v>1081</v>
      </c>
      <c r="J27" s="496"/>
      <c r="K27" s="240" t="s">
        <v>307</v>
      </c>
      <c r="L27" s="487"/>
      <c r="M27" s="487"/>
      <c r="N27" s="241">
        <v>0.25</v>
      </c>
      <c r="O27" s="243">
        <v>0.5</v>
      </c>
      <c r="P27" s="241">
        <v>0.75</v>
      </c>
      <c r="Q27" s="241">
        <v>1</v>
      </c>
      <c r="R27" s="139">
        <v>0.25</v>
      </c>
      <c r="S27" s="139" t="s">
        <v>633</v>
      </c>
      <c r="T27" s="139" t="s">
        <v>684</v>
      </c>
      <c r="U27" s="144">
        <f>1/3</f>
        <v>0.33333333333333331</v>
      </c>
      <c r="V27" s="155" t="s">
        <v>1080</v>
      </c>
      <c r="W27" s="144" t="s">
        <v>1079</v>
      </c>
      <c r="X27" s="144" t="s">
        <v>684</v>
      </c>
      <c r="Y27" s="139">
        <f>2/3</f>
        <v>0.66666666666666663</v>
      </c>
      <c r="Z27" s="139" t="s">
        <v>1363</v>
      </c>
      <c r="AA27" s="139" t="s">
        <v>1364</v>
      </c>
      <c r="AB27" s="139" t="s">
        <v>684</v>
      </c>
      <c r="AC27" s="139"/>
      <c r="AD27" s="139"/>
      <c r="AE27" s="139"/>
      <c r="AF27" s="139"/>
    </row>
    <row r="28" spans="1:32" s="27" customFormat="1" ht="409.5">
      <c r="A28" s="485"/>
      <c r="B28" s="495" t="s">
        <v>305</v>
      </c>
      <c r="C28" s="481" t="s">
        <v>451</v>
      </c>
      <c r="D28" s="379"/>
      <c r="E28" s="493" t="s">
        <v>95</v>
      </c>
      <c r="F28" s="491">
        <v>1</v>
      </c>
      <c r="G28" s="481" t="s">
        <v>451</v>
      </c>
      <c r="H28" s="255" t="s">
        <v>452</v>
      </c>
      <c r="I28" s="255" t="s">
        <v>801</v>
      </c>
      <c r="J28" s="496" t="s">
        <v>151</v>
      </c>
      <c r="K28" s="373" t="s">
        <v>304</v>
      </c>
      <c r="L28" s="486">
        <v>43102</v>
      </c>
      <c r="M28" s="486">
        <v>43465</v>
      </c>
      <c r="N28" s="241">
        <v>0.25</v>
      </c>
      <c r="O28" s="243">
        <v>0.5</v>
      </c>
      <c r="P28" s="241">
        <v>0.75</v>
      </c>
      <c r="Q28" s="241">
        <v>1</v>
      </c>
      <c r="R28" s="256">
        <v>0.25</v>
      </c>
      <c r="S28" s="139" t="s">
        <v>635</v>
      </c>
      <c r="T28" s="139" t="s">
        <v>684</v>
      </c>
      <c r="U28" s="144">
        <v>0.25</v>
      </c>
      <c r="V28" s="155" t="s">
        <v>1082</v>
      </c>
      <c r="W28" s="144" t="s">
        <v>1083</v>
      </c>
      <c r="X28" s="144" t="s">
        <v>684</v>
      </c>
      <c r="Y28" s="139">
        <v>1</v>
      </c>
      <c r="Z28" s="139" t="s">
        <v>1365</v>
      </c>
      <c r="AA28" s="139" t="s">
        <v>1366</v>
      </c>
      <c r="AB28" s="139" t="s">
        <v>1068</v>
      </c>
      <c r="AC28" s="139"/>
      <c r="AD28" s="139"/>
      <c r="AE28" s="139"/>
      <c r="AF28" s="139"/>
    </row>
    <row r="29" spans="1:32" s="27" customFormat="1" ht="409.5">
      <c r="A29" s="485"/>
      <c r="B29" s="495"/>
      <c r="C29" s="482"/>
      <c r="D29" s="379"/>
      <c r="E29" s="488"/>
      <c r="F29" s="492"/>
      <c r="G29" s="482"/>
      <c r="H29" s="255" t="s">
        <v>453</v>
      </c>
      <c r="I29" s="255" t="s">
        <v>823</v>
      </c>
      <c r="J29" s="496"/>
      <c r="K29" s="485"/>
      <c r="L29" s="487"/>
      <c r="M29" s="487"/>
      <c r="N29" s="241">
        <v>0.25</v>
      </c>
      <c r="O29" s="243">
        <v>0.5</v>
      </c>
      <c r="P29" s="241">
        <v>0.75</v>
      </c>
      <c r="Q29" s="241">
        <v>1</v>
      </c>
      <c r="R29" s="256">
        <v>0</v>
      </c>
      <c r="S29" s="139" t="s">
        <v>636</v>
      </c>
      <c r="T29" s="139" t="s">
        <v>684</v>
      </c>
      <c r="U29" s="144">
        <f>0/16</f>
        <v>0</v>
      </c>
      <c r="V29" s="155" t="s">
        <v>1085</v>
      </c>
      <c r="W29" s="144" t="s">
        <v>1084</v>
      </c>
      <c r="X29" s="144" t="s">
        <v>1068</v>
      </c>
      <c r="Y29" s="139">
        <v>0</v>
      </c>
      <c r="Z29" s="139" t="s">
        <v>1367</v>
      </c>
      <c r="AA29" s="139" t="s">
        <v>1368</v>
      </c>
      <c r="AB29" s="139" t="s">
        <v>1369</v>
      </c>
      <c r="AC29" s="139"/>
      <c r="AD29" s="139"/>
      <c r="AE29" s="139"/>
      <c r="AF29" s="139"/>
    </row>
    <row r="30" spans="1:32" s="27" customFormat="1" ht="409.5">
      <c r="A30" s="485"/>
      <c r="B30" s="495"/>
      <c r="C30" s="482"/>
      <c r="D30" s="379"/>
      <c r="E30" s="488"/>
      <c r="F30" s="492"/>
      <c r="G30" s="482"/>
      <c r="H30" s="151" t="s">
        <v>454</v>
      </c>
      <c r="I30" s="255" t="s">
        <v>823</v>
      </c>
      <c r="J30" s="496"/>
      <c r="K30" s="488"/>
      <c r="L30" s="487"/>
      <c r="M30" s="487"/>
      <c r="N30" s="241">
        <v>0.25</v>
      </c>
      <c r="O30" s="243">
        <v>0.5</v>
      </c>
      <c r="P30" s="241">
        <v>0.75</v>
      </c>
      <c r="Q30" s="241">
        <v>1</v>
      </c>
      <c r="R30" s="256">
        <v>0</v>
      </c>
      <c r="S30" s="139" t="s">
        <v>637</v>
      </c>
      <c r="T30" s="139" t="s">
        <v>684</v>
      </c>
      <c r="U30" s="144">
        <f>0/4</f>
        <v>0</v>
      </c>
      <c r="V30" s="155" t="s">
        <v>1088</v>
      </c>
      <c r="W30" s="144" t="s">
        <v>1086</v>
      </c>
      <c r="X30" s="144" t="s">
        <v>1068</v>
      </c>
      <c r="Y30" s="139">
        <v>0</v>
      </c>
      <c r="Z30" s="139" t="s">
        <v>1370</v>
      </c>
      <c r="AA30" s="139" t="s">
        <v>1368</v>
      </c>
      <c r="AB30" s="139" t="s">
        <v>1371</v>
      </c>
      <c r="AC30" s="139"/>
      <c r="AD30" s="139"/>
      <c r="AE30" s="139"/>
      <c r="AF30" s="139"/>
    </row>
    <row r="31" spans="1:32" s="27" customFormat="1" ht="409.5">
      <c r="A31" s="485"/>
      <c r="B31" s="495"/>
      <c r="C31" s="490"/>
      <c r="D31" s="379"/>
      <c r="E31" s="489"/>
      <c r="F31" s="494"/>
      <c r="G31" s="490"/>
      <c r="H31" s="151" t="s">
        <v>455</v>
      </c>
      <c r="I31" s="255" t="s">
        <v>824</v>
      </c>
      <c r="J31" s="496"/>
      <c r="K31" s="489"/>
      <c r="L31" s="497"/>
      <c r="M31" s="497"/>
      <c r="N31" s="241">
        <v>0.25</v>
      </c>
      <c r="O31" s="243">
        <v>0.5</v>
      </c>
      <c r="P31" s="241">
        <v>0.75</v>
      </c>
      <c r="Q31" s="241">
        <v>1</v>
      </c>
      <c r="R31" s="256">
        <v>0</v>
      </c>
      <c r="S31" s="139" t="s">
        <v>638</v>
      </c>
      <c r="T31" s="139" t="s">
        <v>684</v>
      </c>
      <c r="U31" s="144">
        <f>0/3</f>
        <v>0</v>
      </c>
      <c r="V31" s="155" t="s">
        <v>1089</v>
      </c>
      <c r="W31" s="144" t="s">
        <v>1087</v>
      </c>
      <c r="X31" s="144" t="s">
        <v>1068</v>
      </c>
      <c r="Y31" s="139">
        <v>0</v>
      </c>
      <c r="Z31" s="139" t="s">
        <v>1372</v>
      </c>
      <c r="AA31" s="139" t="s">
        <v>1368</v>
      </c>
      <c r="AB31" s="139" t="s">
        <v>1373</v>
      </c>
      <c r="AC31" s="139"/>
      <c r="AD31" s="139"/>
      <c r="AE31" s="139"/>
      <c r="AF31" s="139"/>
    </row>
    <row r="32" spans="1:32" s="27" customFormat="1" ht="409.5">
      <c r="A32" s="260" t="s">
        <v>242</v>
      </c>
      <c r="B32" s="261"/>
      <c r="C32" s="145" t="s">
        <v>243</v>
      </c>
      <c r="D32" s="380"/>
      <c r="E32" s="257" t="s">
        <v>95</v>
      </c>
      <c r="F32" s="258">
        <v>1</v>
      </c>
      <c r="G32" s="240" t="s">
        <v>319</v>
      </c>
      <c r="H32" s="259" t="s">
        <v>318</v>
      </c>
      <c r="I32" s="251" t="s">
        <v>846</v>
      </c>
      <c r="J32" s="257" t="s">
        <v>153</v>
      </c>
      <c r="K32" s="240" t="s">
        <v>312</v>
      </c>
      <c r="L32" s="337"/>
      <c r="M32" s="337"/>
      <c r="N32" s="241">
        <v>0.25</v>
      </c>
      <c r="O32" s="243">
        <v>0.5</v>
      </c>
      <c r="P32" s="241">
        <v>0.75</v>
      </c>
      <c r="Q32" s="241">
        <v>1</v>
      </c>
      <c r="R32" s="241">
        <v>0.25</v>
      </c>
      <c r="S32" s="139" t="s">
        <v>610</v>
      </c>
      <c r="T32" s="139" t="s">
        <v>611</v>
      </c>
      <c r="U32" s="250">
        <v>1</v>
      </c>
      <c r="V32" s="191" t="s">
        <v>992</v>
      </c>
      <c r="W32" s="192" t="s">
        <v>991</v>
      </c>
      <c r="X32" s="191" t="s">
        <v>611</v>
      </c>
      <c r="Y32" s="309">
        <v>1</v>
      </c>
      <c r="Z32" s="310" t="s">
        <v>1330</v>
      </c>
      <c r="AA32" s="311" t="s">
        <v>1331</v>
      </c>
      <c r="AB32" s="310" t="s">
        <v>611</v>
      </c>
      <c r="AC32" s="139"/>
      <c r="AD32" s="139"/>
      <c r="AE32" s="139"/>
      <c r="AF32" s="139"/>
    </row>
    <row r="33" spans="18:18">
      <c r="R33" s="72"/>
    </row>
  </sheetData>
  <autoFilter ref="A3:AF32">
    <filterColumn colId="15">
      <filters>
        <filter val="100%"/>
        <filter val="50%"/>
        <filter val="60%"/>
        <filter val="70%"/>
        <filter val="75%"/>
      </filters>
    </filterColumn>
  </autoFilter>
  <mergeCells count="51">
    <mergeCell ref="A1:A3"/>
    <mergeCell ref="B1:B3"/>
    <mergeCell ref="C1:C3"/>
    <mergeCell ref="D1:D3"/>
    <mergeCell ref="E1:E3"/>
    <mergeCell ref="N1:Q1"/>
    <mergeCell ref="L2:L3"/>
    <mergeCell ref="M2:M3"/>
    <mergeCell ref="J1:J3"/>
    <mergeCell ref="K1:K3"/>
    <mergeCell ref="B26:B27"/>
    <mergeCell ref="J26:J27"/>
    <mergeCell ref="B4:B12"/>
    <mergeCell ref="C14:C15"/>
    <mergeCell ref="D14:D15"/>
    <mergeCell ref="E14:E15"/>
    <mergeCell ref="F14:F15"/>
    <mergeCell ref="G6:G8"/>
    <mergeCell ref="F6:F8"/>
    <mergeCell ref="E6:E8"/>
    <mergeCell ref="D6:D8"/>
    <mergeCell ref="C6:C8"/>
    <mergeCell ref="M26:M27"/>
    <mergeCell ref="L28:L31"/>
    <mergeCell ref="M28:M31"/>
    <mergeCell ref="F1:F3"/>
    <mergeCell ref="G1:G3"/>
    <mergeCell ref="H1:H3"/>
    <mergeCell ref="I1:I3"/>
    <mergeCell ref="L1:M1"/>
    <mergeCell ref="A4:A25"/>
    <mergeCell ref="B13:B25"/>
    <mergeCell ref="C26:C27"/>
    <mergeCell ref="D26:D32"/>
    <mergeCell ref="L26:L27"/>
    <mergeCell ref="K28:K31"/>
    <mergeCell ref="G28:G31"/>
    <mergeCell ref="E26:E27"/>
    <mergeCell ref="F26:F27"/>
    <mergeCell ref="E28:E31"/>
    <mergeCell ref="F28:F31"/>
    <mergeCell ref="A26:A31"/>
    <mergeCell ref="C28:C31"/>
    <mergeCell ref="B28:B31"/>
    <mergeCell ref="J28:J31"/>
    <mergeCell ref="G26:G27"/>
    <mergeCell ref="Y2:AB2"/>
    <mergeCell ref="AC2:AF2"/>
    <mergeCell ref="R2:T2"/>
    <mergeCell ref="R1:AF1"/>
    <mergeCell ref="U2:X2"/>
  </mergeCells>
  <hyperlinks>
    <hyperlink ref="T15" r:id="rId1" display="https://icfes.darumasoftware.com/app.php/"/>
    <hyperlink ref="T4" r:id="rId2"/>
    <hyperlink ref="X12" r:id="rId3"/>
    <hyperlink ref="X15" r:id="rId4" display="https://icfes.darumasoftware.com/app.php/"/>
    <hyperlink ref="X22" r:id="rId5"/>
    <hyperlink ref="X4" r:id="rId6"/>
    <hyperlink ref="AB15" r:id="rId7" display="https://icfes.darumasoftware.com/app.php/"/>
    <hyperlink ref="AB12" r:id="rId8"/>
    <hyperlink ref="AB22" r:id="rId9"/>
    <hyperlink ref="AB4" r:id="rId10"/>
  </hyperlinks>
  <pageMargins left="0.7" right="0.7" top="0.75" bottom="0.75" header="0.3" footer="0.3"/>
  <pageSetup orientation="portrait" r:id="rId11"/>
  <legacyDrawing r:id="rId1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26"/>
  <sheetViews>
    <sheetView zoomScale="55" zoomScaleNormal="55" workbookViewId="0">
      <selection activeCell="I1" sqref="I1:I1048576"/>
    </sheetView>
  </sheetViews>
  <sheetFormatPr baseColWidth="10" defaultColWidth="10.7109375" defaultRowHeight="12.75"/>
  <cols>
    <col min="1" max="1" width="19.7109375" customWidth="1"/>
    <col min="2" max="2" width="19.7109375" style="12" customWidth="1"/>
    <col min="3" max="3" width="19.85546875" customWidth="1"/>
    <col min="4" max="4" width="23.7109375" style="11" customWidth="1"/>
    <col min="5" max="5" width="18" customWidth="1"/>
    <col min="6" max="6" width="25.140625" customWidth="1"/>
    <col min="7" max="7" width="17.5703125" customWidth="1"/>
    <col min="8" max="8" width="31.42578125" customWidth="1"/>
    <col min="9" max="9" width="35.85546875" style="12" customWidth="1"/>
    <col min="10" max="12" width="21.85546875" style="12" customWidth="1"/>
    <col min="13" max="13" width="14" customWidth="1"/>
    <col min="14" max="14" width="14.42578125" customWidth="1"/>
    <col min="15" max="18" width="15" customWidth="1"/>
    <col min="21" max="21" width="10.7109375" style="12" hidden="1" customWidth="1"/>
  </cols>
  <sheetData>
    <row r="1" spans="1:21" ht="18.75">
      <c r="A1" s="393" t="s">
        <v>94</v>
      </c>
      <c r="B1" s="393" t="s">
        <v>175</v>
      </c>
      <c r="C1" s="393" t="s">
        <v>74</v>
      </c>
      <c r="D1" s="393" t="s">
        <v>65</v>
      </c>
      <c r="E1" s="393" t="s">
        <v>66</v>
      </c>
      <c r="F1" s="393" t="s">
        <v>67</v>
      </c>
      <c r="G1" s="393" t="s">
        <v>68</v>
      </c>
      <c r="H1" s="393" t="s">
        <v>69</v>
      </c>
      <c r="I1" s="370" t="s">
        <v>250</v>
      </c>
      <c r="J1" s="393" t="s">
        <v>145</v>
      </c>
      <c r="K1" s="370" t="s">
        <v>244</v>
      </c>
      <c r="L1" s="393" t="s">
        <v>147</v>
      </c>
      <c r="M1" s="395" t="s">
        <v>70</v>
      </c>
      <c r="N1" s="395"/>
      <c r="O1" s="395" t="s">
        <v>79</v>
      </c>
      <c r="P1" s="395"/>
      <c r="Q1" s="395"/>
      <c r="R1" s="395"/>
      <c r="S1" s="12"/>
      <c r="T1" s="12"/>
    </row>
    <row r="2" spans="1:21" ht="15.75">
      <c r="A2" s="393"/>
      <c r="B2" s="393"/>
      <c r="C2" s="393"/>
      <c r="D2" s="393"/>
      <c r="E2" s="393"/>
      <c r="F2" s="393"/>
      <c r="G2" s="393"/>
      <c r="H2" s="393"/>
      <c r="I2" s="371"/>
      <c r="J2" s="393"/>
      <c r="K2" s="371"/>
      <c r="L2" s="393"/>
      <c r="M2" s="396" t="s">
        <v>71</v>
      </c>
      <c r="N2" s="396" t="s">
        <v>72</v>
      </c>
      <c r="O2" s="13" t="s">
        <v>75</v>
      </c>
      <c r="P2" s="13" t="s">
        <v>76</v>
      </c>
      <c r="Q2" s="13" t="s">
        <v>77</v>
      </c>
      <c r="R2" s="13" t="s">
        <v>78</v>
      </c>
      <c r="S2" s="12"/>
      <c r="T2" s="12"/>
    </row>
    <row r="3" spans="1:21" ht="31.5">
      <c r="A3" s="393"/>
      <c r="B3" s="393"/>
      <c r="C3" s="393"/>
      <c r="D3" s="393"/>
      <c r="E3" s="393"/>
      <c r="F3" s="393"/>
      <c r="G3" s="393"/>
      <c r="H3" s="393"/>
      <c r="I3" s="372"/>
      <c r="J3" s="393"/>
      <c r="K3" s="372"/>
      <c r="L3" s="393"/>
      <c r="M3" s="396"/>
      <c r="N3" s="396"/>
      <c r="O3" s="26" t="s">
        <v>64</v>
      </c>
      <c r="P3" s="26" t="s">
        <v>64</v>
      </c>
      <c r="Q3" s="26" t="s">
        <v>64</v>
      </c>
      <c r="R3" s="26" t="s">
        <v>64</v>
      </c>
      <c r="S3" s="12"/>
      <c r="T3" s="12"/>
    </row>
    <row r="4" spans="1:21" ht="66.75" customHeight="1">
      <c r="A4" s="518" t="s">
        <v>60</v>
      </c>
      <c r="B4" s="25"/>
      <c r="C4" s="517" t="s">
        <v>86</v>
      </c>
      <c r="D4" s="513" t="s">
        <v>154</v>
      </c>
      <c r="E4" s="520">
        <v>0.2</v>
      </c>
      <c r="F4" s="17" t="s">
        <v>100</v>
      </c>
      <c r="G4" s="17">
        <v>1</v>
      </c>
      <c r="H4" s="519" t="s">
        <v>159</v>
      </c>
      <c r="I4" s="8"/>
      <c r="J4" s="35" t="s">
        <v>148</v>
      </c>
      <c r="K4" s="35"/>
      <c r="L4" s="35"/>
      <c r="M4" s="17" t="s">
        <v>157</v>
      </c>
      <c r="N4" s="18">
        <v>43189</v>
      </c>
      <c r="O4" s="23">
        <v>1</v>
      </c>
      <c r="P4" s="23">
        <v>0</v>
      </c>
      <c r="Q4" s="23">
        <v>0</v>
      </c>
      <c r="R4" s="23">
        <v>0</v>
      </c>
      <c r="S4" s="12"/>
      <c r="T4" s="12"/>
      <c r="U4" s="30" t="s">
        <v>177</v>
      </c>
    </row>
    <row r="5" spans="1:21" ht="61.5" customHeight="1">
      <c r="A5" s="518"/>
      <c r="B5" s="25"/>
      <c r="C5" s="517"/>
      <c r="D5" s="516"/>
      <c r="E5" s="520"/>
      <c r="F5" s="17" t="s">
        <v>95</v>
      </c>
      <c r="G5" s="21">
        <v>1</v>
      </c>
      <c r="H5" s="519"/>
      <c r="I5" s="8"/>
      <c r="J5" s="35" t="s">
        <v>148</v>
      </c>
      <c r="K5" s="35"/>
      <c r="L5" s="35"/>
      <c r="M5" s="17" t="s">
        <v>133</v>
      </c>
      <c r="N5" s="18">
        <v>43465</v>
      </c>
      <c r="O5" s="23">
        <v>0.25</v>
      </c>
      <c r="P5" s="23">
        <v>0.5</v>
      </c>
      <c r="Q5" s="23">
        <v>0.75</v>
      </c>
      <c r="R5" s="23">
        <v>1</v>
      </c>
      <c r="S5" s="12"/>
      <c r="T5" s="12"/>
      <c r="U5" s="29" t="s">
        <v>176</v>
      </c>
    </row>
    <row r="6" spans="1:21" ht="37.5" customHeight="1">
      <c r="A6" s="518"/>
      <c r="B6" s="25"/>
      <c r="C6" s="517"/>
      <c r="D6" s="522" t="s">
        <v>155</v>
      </c>
      <c r="E6" s="520">
        <v>0.2</v>
      </c>
      <c r="F6" s="17" t="s">
        <v>95</v>
      </c>
      <c r="G6" s="17" t="s">
        <v>135</v>
      </c>
      <c r="H6" s="519" t="s">
        <v>158</v>
      </c>
      <c r="I6" s="8"/>
      <c r="J6" s="35" t="s">
        <v>148</v>
      </c>
      <c r="K6" s="35"/>
      <c r="L6" s="35"/>
      <c r="M6" s="22">
        <v>43101</v>
      </c>
      <c r="N6" s="18">
        <v>43190</v>
      </c>
      <c r="O6" s="23">
        <v>1</v>
      </c>
      <c r="P6" s="23">
        <v>1</v>
      </c>
      <c r="Q6" s="23">
        <v>1</v>
      </c>
      <c r="R6" s="23">
        <v>1</v>
      </c>
      <c r="S6" s="12"/>
      <c r="T6" s="12"/>
      <c r="U6" s="27" t="s">
        <v>178</v>
      </c>
    </row>
    <row r="7" spans="1:21" ht="124.5" customHeight="1">
      <c r="A7" s="518"/>
      <c r="B7" s="25"/>
      <c r="C7" s="517"/>
      <c r="D7" s="522"/>
      <c r="E7" s="520"/>
      <c r="F7" s="17" t="s">
        <v>95</v>
      </c>
      <c r="G7" s="17" t="s">
        <v>136</v>
      </c>
      <c r="H7" s="519"/>
      <c r="I7" s="8"/>
      <c r="J7" s="35" t="s">
        <v>148</v>
      </c>
      <c r="K7" s="35"/>
      <c r="L7" s="35"/>
      <c r="M7" s="22">
        <v>43101</v>
      </c>
      <c r="N7" s="18">
        <v>43465</v>
      </c>
      <c r="O7" s="23">
        <v>0.25</v>
      </c>
      <c r="P7" s="23">
        <v>0.5</v>
      </c>
      <c r="Q7" s="23">
        <v>0.75</v>
      </c>
      <c r="R7" s="23">
        <v>1</v>
      </c>
      <c r="S7" s="12"/>
      <c r="T7" s="16"/>
      <c r="U7" s="27" t="s">
        <v>179</v>
      </c>
    </row>
    <row r="8" spans="1:21" ht="75.75" customHeight="1">
      <c r="A8" s="518"/>
      <c r="B8" s="25"/>
      <c r="C8" s="517"/>
      <c r="D8" s="21" t="s">
        <v>137</v>
      </c>
      <c r="E8" s="19">
        <v>0.2</v>
      </c>
      <c r="F8" s="17" t="s">
        <v>95</v>
      </c>
      <c r="G8" s="21">
        <v>1</v>
      </c>
      <c r="H8" s="20" t="s">
        <v>138</v>
      </c>
      <c r="I8" s="8"/>
      <c r="J8" s="35" t="s">
        <v>148</v>
      </c>
      <c r="K8" s="35"/>
      <c r="L8" s="20"/>
      <c r="M8" s="22">
        <v>43101</v>
      </c>
      <c r="N8" s="18">
        <v>43465</v>
      </c>
      <c r="O8" s="23">
        <v>0.25</v>
      </c>
      <c r="P8" s="23">
        <v>0.5</v>
      </c>
      <c r="Q8" s="23">
        <v>0.75</v>
      </c>
      <c r="R8" s="23">
        <v>1</v>
      </c>
      <c r="S8" s="12"/>
      <c r="T8" s="15"/>
      <c r="U8" s="27" t="s">
        <v>180</v>
      </c>
    </row>
    <row r="9" spans="1:21" ht="186" customHeight="1">
      <c r="A9" s="518"/>
      <c r="B9" s="25"/>
      <c r="C9" s="517"/>
      <c r="D9" s="21" t="s">
        <v>139</v>
      </c>
      <c r="E9" s="19">
        <v>0.1</v>
      </c>
      <c r="F9" s="17" t="s">
        <v>95</v>
      </c>
      <c r="G9" s="21">
        <v>1</v>
      </c>
      <c r="H9" s="20" t="s">
        <v>156</v>
      </c>
      <c r="I9" s="8"/>
      <c r="J9" s="35" t="s">
        <v>148</v>
      </c>
      <c r="K9" s="35"/>
      <c r="L9" s="20"/>
      <c r="M9" s="22">
        <v>43101</v>
      </c>
      <c r="N9" s="18">
        <v>43465</v>
      </c>
      <c r="O9" s="23">
        <v>0.25</v>
      </c>
      <c r="P9" s="23">
        <v>0.5</v>
      </c>
      <c r="Q9" s="23">
        <v>0.75</v>
      </c>
      <c r="R9" s="23">
        <v>1</v>
      </c>
      <c r="S9" s="12"/>
      <c r="T9" s="14"/>
      <c r="U9" s="27" t="s">
        <v>181</v>
      </c>
    </row>
    <row r="10" spans="1:21" ht="309.75" customHeight="1">
      <c r="A10" s="518"/>
      <c r="B10" s="25"/>
      <c r="C10" s="517"/>
      <c r="D10" s="36" t="s">
        <v>140</v>
      </c>
      <c r="E10" s="19">
        <v>0.1</v>
      </c>
      <c r="F10" s="17" t="s">
        <v>95</v>
      </c>
      <c r="G10" s="21">
        <v>0.8</v>
      </c>
      <c r="H10" s="20" t="s">
        <v>160</v>
      </c>
      <c r="I10" s="8"/>
      <c r="J10" s="35" t="s">
        <v>148</v>
      </c>
      <c r="K10" s="35"/>
      <c r="L10" s="20"/>
      <c r="M10" s="17" t="s">
        <v>133</v>
      </c>
      <c r="N10" s="18">
        <v>43465</v>
      </c>
      <c r="O10" s="23">
        <v>0.25</v>
      </c>
      <c r="P10" s="23">
        <v>0.5</v>
      </c>
      <c r="Q10" s="23">
        <v>0.75</v>
      </c>
      <c r="R10" s="23">
        <v>1</v>
      </c>
      <c r="S10" s="12"/>
      <c r="T10" s="14"/>
      <c r="U10" s="27" t="s">
        <v>182</v>
      </c>
    </row>
    <row r="11" spans="1:21" ht="172.5" customHeight="1">
      <c r="A11" s="518"/>
      <c r="B11" s="25"/>
      <c r="C11" s="517"/>
      <c r="D11" s="36" t="s">
        <v>141</v>
      </c>
      <c r="E11" s="19">
        <v>0.1</v>
      </c>
      <c r="F11" s="17" t="s">
        <v>95</v>
      </c>
      <c r="G11" s="21">
        <v>0.9</v>
      </c>
      <c r="H11" s="20" t="s">
        <v>144</v>
      </c>
      <c r="I11" s="8"/>
      <c r="J11" s="35" t="s">
        <v>148</v>
      </c>
      <c r="K11" s="35"/>
      <c r="L11" s="20"/>
      <c r="M11" s="17" t="s">
        <v>133</v>
      </c>
      <c r="N11" s="18">
        <v>43465</v>
      </c>
      <c r="O11" s="23">
        <v>0.25</v>
      </c>
      <c r="P11" s="23">
        <v>0.5</v>
      </c>
      <c r="Q11" s="23">
        <v>0.75</v>
      </c>
      <c r="R11" s="23">
        <v>1</v>
      </c>
      <c r="S11" s="12"/>
      <c r="T11" s="14"/>
      <c r="U11" s="29" t="s">
        <v>183</v>
      </c>
    </row>
    <row r="12" spans="1:21" ht="35.25" customHeight="1">
      <c r="A12" s="518"/>
      <c r="B12" s="25"/>
      <c r="C12" s="517" t="s">
        <v>87</v>
      </c>
      <c r="D12" s="513" t="s">
        <v>142</v>
      </c>
      <c r="E12" s="520">
        <v>0.1</v>
      </c>
      <c r="F12" s="17" t="s">
        <v>100</v>
      </c>
      <c r="G12" s="17">
        <v>1</v>
      </c>
      <c r="H12" s="521" t="s">
        <v>143</v>
      </c>
      <c r="I12" s="8"/>
      <c r="J12" s="35" t="s">
        <v>148</v>
      </c>
      <c r="K12" s="35"/>
      <c r="L12" s="24"/>
      <c r="M12" s="17" t="s">
        <v>133</v>
      </c>
      <c r="N12" s="18" t="s">
        <v>134</v>
      </c>
      <c r="O12" s="23">
        <v>1</v>
      </c>
      <c r="P12" s="23">
        <v>1</v>
      </c>
      <c r="Q12" s="23">
        <v>1</v>
      </c>
      <c r="R12" s="23">
        <v>1</v>
      </c>
      <c r="S12" s="12"/>
      <c r="T12" s="14"/>
      <c r="U12" s="27" t="s">
        <v>184</v>
      </c>
    </row>
    <row r="13" spans="1:21" ht="35.25" customHeight="1">
      <c r="A13" s="518"/>
      <c r="B13" s="25"/>
      <c r="C13" s="517"/>
      <c r="D13" s="513"/>
      <c r="E13" s="520"/>
      <c r="F13" s="17" t="s">
        <v>95</v>
      </c>
      <c r="G13" s="21">
        <v>1</v>
      </c>
      <c r="H13" s="521"/>
      <c r="I13" s="8"/>
      <c r="J13" s="35" t="s">
        <v>148</v>
      </c>
      <c r="K13" s="35"/>
      <c r="L13" s="24"/>
      <c r="M13" s="17" t="s">
        <v>133</v>
      </c>
      <c r="N13" s="18">
        <v>43465</v>
      </c>
      <c r="O13" s="23">
        <v>0.25</v>
      </c>
      <c r="P13" s="23">
        <v>0.5</v>
      </c>
      <c r="Q13" s="23">
        <v>0.75</v>
      </c>
      <c r="R13" s="23">
        <v>1</v>
      </c>
      <c r="S13" s="10"/>
      <c r="T13" s="10"/>
    </row>
    <row r="14" spans="1:21" ht="12.75" customHeight="1">
      <c r="A14" s="513" t="s">
        <v>187</v>
      </c>
      <c r="B14" s="25"/>
      <c r="C14" s="513" t="s">
        <v>193</v>
      </c>
      <c r="D14" s="513" t="s">
        <v>186</v>
      </c>
      <c r="E14" s="31"/>
      <c r="F14" s="31"/>
      <c r="G14" s="31"/>
      <c r="H14" s="37" t="s">
        <v>188</v>
      </c>
      <c r="I14" s="8"/>
      <c r="J14" s="514" t="s">
        <v>148</v>
      </c>
      <c r="K14" s="38"/>
      <c r="L14" s="31"/>
      <c r="M14" s="31"/>
      <c r="N14" s="31"/>
      <c r="O14" s="31"/>
      <c r="P14" s="31"/>
      <c r="Q14" s="31"/>
      <c r="R14" s="31"/>
    </row>
    <row r="15" spans="1:21" ht="12.75" customHeight="1">
      <c r="A15" s="513"/>
      <c r="B15" s="25"/>
      <c r="C15" s="516"/>
      <c r="D15" s="513"/>
      <c r="E15" s="31"/>
      <c r="F15" s="31"/>
      <c r="G15" s="31"/>
      <c r="H15" s="39" t="s">
        <v>189</v>
      </c>
      <c r="I15" s="44"/>
      <c r="J15" s="515"/>
      <c r="K15" s="40"/>
      <c r="L15" s="31"/>
      <c r="M15" s="31"/>
      <c r="N15" s="31"/>
      <c r="O15" s="31"/>
      <c r="P15" s="31"/>
      <c r="Q15" s="31"/>
      <c r="R15" s="31"/>
    </row>
    <row r="16" spans="1:21" ht="12.75" customHeight="1">
      <c r="A16" s="513"/>
      <c r="B16" s="25"/>
      <c r="C16" s="516"/>
      <c r="D16" s="513"/>
      <c r="E16" s="31"/>
      <c r="F16" s="31"/>
      <c r="G16" s="31"/>
      <c r="H16" s="39" t="s">
        <v>190</v>
      </c>
      <c r="I16" s="45"/>
      <c r="J16" s="515"/>
      <c r="K16" s="40"/>
      <c r="L16" s="31"/>
      <c r="M16" s="31"/>
      <c r="N16" s="31"/>
      <c r="O16" s="31"/>
      <c r="P16" s="31"/>
      <c r="Q16" s="31"/>
      <c r="R16" s="31"/>
    </row>
    <row r="17" spans="1:18" ht="12.75" customHeight="1">
      <c r="A17" s="513"/>
      <c r="B17" s="25"/>
      <c r="C17" s="516"/>
      <c r="D17" s="513"/>
      <c r="E17" s="31"/>
      <c r="F17" s="31"/>
      <c r="G17" s="31"/>
      <c r="H17" s="39" t="s">
        <v>191</v>
      </c>
      <c r="I17" s="45"/>
      <c r="J17" s="515"/>
      <c r="K17" s="40"/>
      <c r="L17" s="31"/>
      <c r="M17" s="31"/>
      <c r="N17" s="31"/>
      <c r="O17" s="31"/>
      <c r="P17" s="31"/>
      <c r="Q17" s="31"/>
      <c r="R17" s="31"/>
    </row>
    <row r="18" spans="1:18" ht="12.75" customHeight="1">
      <c r="A18" s="513"/>
      <c r="B18" s="25"/>
      <c r="C18" s="516"/>
      <c r="D18" s="513"/>
      <c r="E18" s="31"/>
      <c r="F18" s="31"/>
      <c r="G18" s="31"/>
      <c r="H18" s="39" t="s">
        <v>192</v>
      </c>
      <c r="I18" s="45"/>
      <c r="J18" s="515"/>
      <c r="K18" s="40"/>
      <c r="L18" s="31"/>
      <c r="M18" s="31"/>
      <c r="N18" s="31"/>
      <c r="O18" s="31"/>
      <c r="P18" s="31"/>
      <c r="Q18" s="31"/>
      <c r="R18" s="31"/>
    </row>
    <row r="19" spans="1:18" ht="15">
      <c r="A19" s="512" t="s">
        <v>212</v>
      </c>
      <c r="B19" s="31"/>
      <c r="C19" s="31"/>
      <c r="D19" s="32" t="s">
        <v>209</v>
      </c>
      <c r="E19" s="31"/>
      <c r="F19" s="31"/>
      <c r="G19" s="31"/>
      <c r="H19" s="31"/>
      <c r="I19" s="45"/>
      <c r="J19" s="33" t="s">
        <v>148</v>
      </c>
      <c r="K19" s="33"/>
      <c r="L19" s="31"/>
      <c r="M19" s="31"/>
      <c r="N19" s="31"/>
      <c r="O19" s="31"/>
      <c r="P19" s="31"/>
      <c r="Q19" s="31"/>
      <c r="R19" s="31"/>
    </row>
    <row r="20" spans="1:18" ht="15">
      <c r="A20" s="512"/>
      <c r="B20" s="31"/>
      <c r="C20" s="31"/>
      <c r="D20" s="32" t="s">
        <v>210</v>
      </c>
      <c r="E20" s="31"/>
      <c r="F20" s="31"/>
      <c r="G20" s="31"/>
      <c r="H20" s="31"/>
      <c r="I20" s="45"/>
      <c r="J20" s="33" t="s">
        <v>148</v>
      </c>
      <c r="K20" s="33"/>
      <c r="L20" s="31"/>
      <c r="M20" s="31"/>
      <c r="N20" s="31"/>
      <c r="O20" s="31"/>
      <c r="P20" s="31"/>
      <c r="Q20" s="31"/>
      <c r="R20" s="31"/>
    </row>
    <row r="21" spans="1:18" s="12" customFormat="1" ht="15">
      <c r="A21" s="512"/>
      <c r="B21" s="31"/>
      <c r="C21" s="31"/>
      <c r="D21" s="32" t="s">
        <v>214</v>
      </c>
      <c r="E21" s="31"/>
      <c r="F21" s="31"/>
      <c r="G21" s="31"/>
      <c r="H21" s="31"/>
      <c r="I21" s="45"/>
      <c r="J21" s="33" t="s">
        <v>148</v>
      </c>
      <c r="K21" s="33"/>
      <c r="L21" s="31"/>
      <c r="M21" s="31"/>
      <c r="N21" s="31"/>
      <c r="O21" s="31"/>
      <c r="P21" s="31"/>
      <c r="Q21" s="31"/>
      <c r="R21" s="31"/>
    </row>
    <row r="22" spans="1:18" ht="15">
      <c r="A22" s="512"/>
      <c r="B22" s="31"/>
      <c r="C22" s="31"/>
      <c r="D22" s="32" t="s">
        <v>211</v>
      </c>
      <c r="E22" s="31"/>
      <c r="F22" s="31"/>
      <c r="G22" s="31"/>
      <c r="H22" s="31"/>
      <c r="I22" s="45"/>
      <c r="J22" s="33" t="s">
        <v>148</v>
      </c>
      <c r="K22" s="33"/>
      <c r="L22" s="31"/>
      <c r="M22" s="31"/>
      <c r="N22" s="31"/>
      <c r="O22" s="31"/>
      <c r="P22" s="31"/>
      <c r="Q22" s="31"/>
      <c r="R22" s="31"/>
    </row>
    <row r="23" spans="1:18" ht="25.5">
      <c r="A23" s="512"/>
      <c r="B23" s="31"/>
      <c r="C23" s="31"/>
      <c r="D23" s="32" t="s">
        <v>213</v>
      </c>
      <c r="E23" s="31"/>
      <c r="F23" s="31"/>
      <c r="G23" s="31"/>
      <c r="H23" s="31"/>
      <c r="I23" s="45"/>
      <c r="J23" s="33" t="s">
        <v>148</v>
      </c>
      <c r="K23" s="33"/>
      <c r="L23" s="31"/>
      <c r="M23" s="31"/>
      <c r="N23" s="31"/>
      <c r="O23" s="31"/>
      <c r="P23" s="31"/>
      <c r="Q23" s="31"/>
      <c r="R23" s="31"/>
    </row>
    <row r="24" spans="1:18" ht="38.25">
      <c r="A24" s="513" t="s">
        <v>215</v>
      </c>
      <c r="B24" s="31"/>
      <c r="D24" s="32" t="s">
        <v>216</v>
      </c>
      <c r="E24" s="32" t="s">
        <v>220</v>
      </c>
      <c r="F24" s="32"/>
      <c r="G24" s="32"/>
      <c r="H24" s="32" t="s">
        <v>219</v>
      </c>
      <c r="I24" s="46"/>
      <c r="J24" s="32"/>
      <c r="K24" s="34"/>
      <c r="L24" s="31"/>
      <c r="M24" s="31"/>
      <c r="N24" s="31"/>
      <c r="O24" s="31"/>
      <c r="P24" s="31"/>
      <c r="Q24" s="31"/>
      <c r="R24" s="31"/>
    </row>
    <row r="25" spans="1:18" ht="38.25">
      <c r="A25" s="513"/>
      <c r="B25" s="31"/>
      <c r="D25" s="32" t="s">
        <v>217</v>
      </c>
      <c r="E25" s="32" t="s">
        <v>221</v>
      </c>
      <c r="F25" s="32"/>
      <c r="G25" s="32"/>
      <c r="H25" s="32" t="s">
        <v>219</v>
      </c>
      <c r="J25" s="32"/>
      <c r="K25" s="34"/>
      <c r="L25" s="31"/>
      <c r="M25" s="31"/>
      <c r="N25" s="31"/>
      <c r="O25" s="31"/>
      <c r="P25" s="31"/>
      <c r="Q25" s="31"/>
      <c r="R25" s="31"/>
    </row>
    <row r="26" spans="1:18" ht="63.75">
      <c r="A26" s="513"/>
      <c r="B26" s="31"/>
      <c r="D26" s="32" t="s">
        <v>218</v>
      </c>
      <c r="E26" s="32" t="s">
        <v>222</v>
      </c>
      <c r="F26" s="32"/>
      <c r="G26" s="32"/>
      <c r="H26" s="32" t="s">
        <v>219</v>
      </c>
      <c r="J26" s="32"/>
      <c r="K26" s="34"/>
      <c r="L26" s="31"/>
      <c r="M26" s="31"/>
      <c r="N26" s="31"/>
      <c r="O26" s="31"/>
      <c r="P26" s="31"/>
      <c r="Q26" s="31"/>
      <c r="R26" s="31"/>
    </row>
  </sheetData>
  <mergeCells count="34">
    <mergeCell ref="C4:C11"/>
    <mergeCell ref="A4:A13"/>
    <mergeCell ref="H6:H7"/>
    <mergeCell ref="E12:E13"/>
    <mergeCell ref="H12:H13"/>
    <mergeCell ref="D4:D5"/>
    <mergeCell ref="E4:E5"/>
    <mergeCell ref="H4:H5"/>
    <mergeCell ref="C12:C13"/>
    <mergeCell ref="D12:D13"/>
    <mergeCell ref="D6:D7"/>
    <mergeCell ref="E6:E7"/>
    <mergeCell ref="A1:A3"/>
    <mergeCell ref="C1:C3"/>
    <mergeCell ref="D1:D3"/>
    <mergeCell ref="E1:E3"/>
    <mergeCell ref="F1:F3"/>
    <mergeCell ref="O1:R1"/>
    <mergeCell ref="J1:J3"/>
    <mergeCell ref="L1:L3"/>
    <mergeCell ref="B1:B3"/>
    <mergeCell ref="K1:K3"/>
    <mergeCell ref="M2:M3"/>
    <mergeCell ref="N2:N3"/>
    <mergeCell ref="G1:G3"/>
    <mergeCell ref="H1:H3"/>
    <mergeCell ref="M1:N1"/>
    <mergeCell ref="I1:I3"/>
    <mergeCell ref="A19:A23"/>
    <mergeCell ref="A24:A26"/>
    <mergeCell ref="D14:D18"/>
    <mergeCell ref="A14:A18"/>
    <mergeCell ref="J14:J18"/>
    <mergeCell ref="C14:C1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B4:B18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AF10"/>
  <sheetViews>
    <sheetView zoomScale="70" zoomScaleNormal="70" workbookViewId="0"/>
  </sheetViews>
  <sheetFormatPr baseColWidth="10" defaultColWidth="10.7109375" defaultRowHeight="12.75"/>
  <cols>
    <col min="1" max="1" width="2.42578125" style="27" customWidth="1"/>
    <col min="2" max="2" width="19.7109375" style="27" customWidth="1"/>
    <col min="3" max="3" width="18.28515625" style="27" customWidth="1"/>
    <col min="4" max="4" width="33" style="27" customWidth="1"/>
    <col min="5" max="5" width="14.42578125" style="27" customWidth="1"/>
    <col min="6" max="6" width="17.85546875" style="27" customWidth="1"/>
    <col min="7" max="7" width="18.28515625" style="27" customWidth="1"/>
    <col min="8" max="9" width="37.85546875" style="27" customWidth="1"/>
    <col min="10" max="10" width="15.7109375" style="27" bestFit="1" customWidth="1"/>
    <col min="11" max="11" width="15.85546875" style="27" bestFit="1" customWidth="1"/>
    <col min="12" max="13" width="17.140625" style="27" customWidth="1"/>
    <col min="14" max="17" width="19.7109375" style="27" customWidth="1"/>
    <col min="18" max="20" width="20.7109375" style="134" hidden="1" customWidth="1"/>
    <col min="21" max="31" width="17.7109375" style="27" hidden="1" customWidth="1"/>
    <col min="32" max="32" width="45.5703125" style="27" hidden="1" customWidth="1"/>
    <col min="33" max="16384" width="10.7109375" style="27"/>
  </cols>
  <sheetData>
    <row r="1" spans="2:32" ht="18.75" customHeight="1">
      <c r="B1" s="393" t="s">
        <v>94</v>
      </c>
      <c r="C1" s="393" t="s">
        <v>74</v>
      </c>
      <c r="D1" s="393" t="s">
        <v>65</v>
      </c>
      <c r="E1" s="393" t="s">
        <v>66</v>
      </c>
      <c r="F1" s="393" t="s">
        <v>67</v>
      </c>
      <c r="G1" s="393" t="s">
        <v>68</v>
      </c>
      <c r="H1" s="393" t="s">
        <v>69</v>
      </c>
      <c r="I1" s="393" t="s">
        <v>741</v>
      </c>
      <c r="J1" s="370" t="s">
        <v>145</v>
      </c>
      <c r="K1" s="393" t="s">
        <v>292</v>
      </c>
      <c r="L1" s="395" t="s">
        <v>70</v>
      </c>
      <c r="M1" s="395"/>
      <c r="N1" s="529" t="s">
        <v>79</v>
      </c>
      <c r="O1" s="530"/>
      <c r="P1" s="530"/>
      <c r="Q1" s="531"/>
      <c r="R1" s="436" t="s">
        <v>386</v>
      </c>
      <c r="S1" s="437"/>
      <c r="T1" s="437"/>
      <c r="U1" s="437"/>
      <c r="V1" s="437"/>
      <c r="W1" s="437"/>
      <c r="X1" s="437"/>
      <c r="Y1" s="437"/>
      <c r="Z1" s="437"/>
      <c r="AA1" s="437"/>
      <c r="AB1" s="437"/>
      <c r="AC1" s="437"/>
      <c r="AD1" s="437"/>
      <c r="AE1" s="437"/>
      <c r="AF1" s="437"/>
    </row>
    <row r="2" spans="2:32" ht="17.25" customHeight="1">
      <c r="B2" s="393"/>
      <c r="C2" s="393"/>
      <c r="D2" s="393"/>
      <c r="E2" s="393"/>
      <c r="F2" s="393"/>
      <c r="G2" s="393"/>
      <c r="H2" s="393"/>
      <c r="I2" s="393"/>
      <c r="J2" s="371"/>
      <c r="K2" s="393"/>
      <c r="L2" s="396" t="s">
        <v>71</v>
      </c>
      <c r="M2" s="396" t="s">
        <v>72</v>
      </c>
      <c r="N2" s="13" t="s">
        <v>75</v>
      </c>
      <c r="O2" s="13" t="s">
        <v>76</v>
      </c>
      <c r="P2" s="13" t="s">
        <v>77</v>
      </c>
      <c r="Q2" s="13" t="s">
        <v>78</v>
      </c>
      <c r="R2" s="358" t="s">
        <v>75</v>
      </c>
      <c r="S2" s="359"/>
      <c r="T2" s="360"/>
      <c r="U2" s="358" t="s">
        <v>76</v>
      </c>
      <c r="V2" s="359"/>
      <c r="W2" s="359"/>
      <c r="X2" s="360"/>
      <c r="Y2" s="386" t="s">
        <v>77</v>
      </c>
      <c r="Z2" s="387"/>
      <c r="AA2" s="387"/>
      <c r="AB2" s="388"/>
      <c r="AC2" s="358" t="s">
        <v>78</v>
      </c>
      <c r="AD2" s="359"/>
      <c r="AE2" s="359"/>
      <c r="AF2" s="360"/>
    </row>
    <row r="3" spans="2:32" ht="54" customHeight="1">
      <c r="B3" s="393"/>
      <c r="C3" s="393"/>
      <c r="D3" s="393"/>
      <c r="E3" s="393"/>
      <c r="F3" s="393"/>
      <c r="G3" s="393"/>
      <c r="H3" s="370"/>
      <c r="I3" s="370"/>
      <c r="J3" s="372"/>
      <c r="K3" s="393"/>
      <c r="L3" s="396"/>
      <c r="M3" s="396"/>
      <c r="N3" s="171" t="s">
        <v>64</v>
      </c>
      <c r="O3" s="171" t="s">
        <v>64</v>
      </c>
      <c r="P3" s="171" t="s">
        <v>64</v>
      </c>
      <c r="Q3" s="171" t="s">
        <v>64</v>
      </c>
      <c r="R3" s="135" t="s">
        <v>387</v>
      </c>
      <c r="S3" s="135" t="s">
        <v>388</v>
      </c>
      <c r="T3" s="135" t="s">
        <v>389</v>
      </c>
      <c r="U3" s="135" t="s">
        <v>696</v>
      </c>
      <c r="V3" s="135" t="s">
        <v>724</v>
      </c>
      <c r="W3" s="135" t="s">
        <v>708</v>
      </c>
      <c r="X3" s="135" t="s">
        <v>389</v>
      </c>
      <c r="Y3" s="292" t="s">
        <v>696</v>
      </c>
      <c r="Z3" s="292" t="s">
        <v>724</v>
      </c>
      <c r="AA3" s="292" t="s">
        <v>708</v>
      </c>
      <c r="AB3" s="292" t="s">
        <v>389</v>
      </c>
      <c r="AC3" s="135" t="s">
        <v>696</v>
      </c>
      <c r="AD3" s="135" t="s">
        <v>724</v>
      </c>
      <c r="AE3" s="135" t="s">
        <v>708</v>
      </c>
      <c r="AF3" s="135" t="s">
        <v>389</v>
      </c>
    </row>
    <row r="4" spans="2:32" ht="270.75">
      <c r="B4" s="378" t="s">
        <v>59</v>
      </c>
      <c r="C4" s="532" t="s">
        <v>93</v>
      </c>
      <c r="D4" s="263" t="s">
        <v>111</v>
      </c>
      <c r="E4" s="264">
        <v>0.15</v>
      </c>
      <c r="F4" s="145" t="s">
        <v>287</v>
      </c>
      <c r="G4" s="265">
        <v>1</v>
      </c>
      <c r="H4" s="263" t="s">
        <v>291</v>
      </c>
      <c r="I4" s="167" t="s">
        <v>709</v>
      </c>
      <c r="J4" s="145" t="s">
        <v>146</v>
      </c>
      <c r="K4" s="263" t="s">
        <v>312</v>
      </c>
      <c r="L4" s="266">
        <v>43101</v>
      </c>
      <c r="M4" s="267">
        <v>43465</v>
      </c>
      <c r="N4" s="268">
        <v>1</v>
      </c>
      <c r="O4" s="268">
        <v>1</v>
      </c>
      <c r="P4" s="268">
        <v>1</v>
      </c>
      <c r="Q4" s="268">
        <v>1</v>
      </c>
      <c r="R4" s="138">
        <v>1</v>
      </c>
      <c r="S4" s="139" t="s">
        <v>668</v>
      </c>
      <c r="T4" s="139" t="s">
        <v>669</v>
      </c>
      <c r="U4" s="138">
        <v>1</v>
      </c>
      <c r="V4" s="269" t="str">
        <f>+'DIRECCIONAMIENTO ESTRATEGICO'!V4</f>
        <v>(95/112)*100=85%</v>
      </c>
      <c r="W4" s="139" t="s">
        <v>668</v>
      </c>
      <c r="X4" s="139" t="s">
        <v>669</v>
      </c>
      <c r="Y4" s="139">
        <f>+'DIRECCIONAMIENTO ESTRATEGICO'!Y4</f>
        <v>0.82</v>
      </c>
      <c r="Z4" s="139" t="str">
        <f>+'DIRECCIONAMIENTO ESTRATEGICO'!Z4</f>
        <v>(92/112/)*100=82%</v>
      </c>
      <c r="AA4" s="139" t="str">
        <f>+'DIRECCIONAMIENTO ESTRATEGICO'!AA4</f>
        <v>Se ejecutaron 92 de las 112 actividades estipuladas en le plan de acción institucional</v>
      </c>
      <c r="AB4" s="139" t="str">
        <f>+'DIRECCIONAMIENTO ESTRATEGICO'!AB4</f>
        <v xml:space="preserve">El presente documento evidencia la inclusión de los planes. Este documento  se encuentra disponible en el link de transparencia de la página web, en el numeral 6. Planeación:  http://www.icfes.gov.co/transparencia/planeacion/politicas-lineamientos-y-manuales </v>
      </c>
      <c r="AC4" s="139"/>
      <c r="AD4" s="139"/>
      <c r="AE4" s="139"/>
      <c r="AF4" s="139"/>
    </row>
    <row r="5" spans="2:32" ht="409.5">
      <c r="B5" s="379"/>
      <c r="C5" s="533"/>
      <c r="D5" s="263" t="s">
        <v>290</v>
      </c>
      <c r="E5" s="264">
        <v>0.15</v>
      </c>
      <c r="F5" s="145" t="s">
        <v>287</v>
      </c>
      <c r="G5" s="265">
        <v>1</v>
      </c>
      <c r="H5" s="263" t="s">
        <v>665</v>
      </c>
      <c r="I5" s="145" t="s">
        <v>710</v>
      </c>
      <c r="J5" s="145" t="s">
        <v>146</v>
      </c>
      <c r="K5" s="263" t="s">
        <v>312</v>
      </c>
      <c r="L5" s="266">
        <v>43101</v>
      </c>
      <c r="M5" s="267">
        <v>43464</v>
      </c>
      <c r="N5" s="268">
        <v>0.8</v>
      </c>
      <c r="O5" s="268">
        <v>1</v>
      </c>
      <c r="P5" s="268">
        <v>1</v>
      </c>
      <c r="Q5" s="268">
        <v>1</v>
      </c>
      <c r="R5" s="138">
        <v>0.7</v>
      </c>
      <c r="S5" s="139" t="s">
        <v>667</v>
      </c>
      <c r="T5" s="139" t="s">
        <v>670</v>
      </c>
      <c r="U5" s="147">
        <v>1</v>
      </c>
      <c r="V5" s="145" t="s">
        <v>710</v>
      </c>
      <c r="W5" s="139" t="s">
        <v>1036</v>
      </c>
      <c r="X5" s="139" t="s">
        <v>1037</v>
      </c>
      <c r="Y5" s="404" t="s">
        <v>1434</v>
      </c>
      <c r="Z5" s="405"/>
      <c r="AA5" s="405"/>
      <c r="AB5" s="406"/>
      <c r="AC5" s="139"/>
      <c r="AD5" s="139"/>
      <c r="AE5" s="139"/>
      <c r="AF5" s="139"/>
    </row>
    <row r="6" spans="2:32" ht="342">
      <c r="B6" s="379"/>
      <c r="C6" s="533"/>
      <c r="D6" s="263" t="s">
        <v>289</v>
      </c>
      <c r="E6" s="264">
        <v>0.3</v>
      </c>
      <c r="F6" s="145" t="s">
        <v>287</v>
      </c>
      <c r="G6" s="265">
        <v>1</v>
      </c>
      <c r="H6" s="263" t="s">
        <v>288</v>
      </c>
      <c r="I6" s="145" t="s">
        <v>711</v>
      </c>
      <c r="J6" s="145" t="s">
        <v>146</v>
      </c>
      <c r="K6" s="263" t="s">
        <v>312</v>
      </c>
      <c r="L6" s="266">
        <v>43101</v>
      </c>
      <c r="M6" s="267">
        <v>43465</v>
      </c>
      <c r="N6" s="268">
        <v>0.25</v>
      </c>
      <c r="O6" s="268">
        <v>0.5</v>
      </c>
      <c r="P6" s="268">
        <v>0.75</v>
      </c>
      <c r="Q6" s="268">
        <v>1</v>
      </c>
      <c r="R6" s="138">
        <v>0.25</v>
      </c>
      <c r="S6" s="139" t="s">
        <v>671</v>
      </c>
      <c r="T6" s="139" t="s">
        <v>669</v>
      </c>
      <c r="U6" s="138">
        <v>0.5</v>
      </c>
      <c r="V6" s="197">
        <v>1</v>
      </c>
      <c r="W6" s="139" t="s">
        <v>1154</v>
      </c>
      <c r="X6" s="139" t="s">
        <v>669</v>
      </c>
      <c r="Y6" s="139">
        <v>0.75</v>
      </c>
      <c r="Z6" s="197">
        <v>1</v>
      </c>
      <c r="AA6" s="139" t="s">
        <v>1154</v>
      </c>
      <c r="AB6" s="139" t="s">
        <v>669</v>
      </c>
      <c r="AC6" s="139"/>
      <c r="AD6" s="139"/>
      <c r="AE6" s="139"/>
      <c r="AF6" s="139"/>
    </row>
    <row r="7" spans="2:32" ht="45">
      <c r="B7" s="379"/>
      <c r="C7" s="533"/>
      <c r="D7" s="378" t="s">
        <v>104</v>
      </c>
      <c r="E7" s="535">
        <v>0.15</v>
      </c>
      <c r="F7" s="378" t="s">
        <v>287</v>
      </c>
      <c r="G7" s="537">
        <v>1</v>
      </c>
      <c r="H7" s="378" t="s">
        <v>105</v>
      </c>
      <c r="I7" s="145" t="s">
        <v>836</v>
      </c>
      <c r="J7" s="378" t="s">
        <v>174</v>
      </c>
      <c r="K7" s="378" t="s">
        <v>312</v>
      </c>
      <c r="L7" s="539">
        <v>43101</v>
      </c>
      <c r="M7" s="541">
        <v>43465</v>
      </c>
      <c r="N7" s="543">
        <v>0.33300000000000002</v>
      </c>
      <c r="O7" s="543">
        <v>0.33300000000000002</v>
      </c>
      <c r="P7" s="543">
        <v>0.66300000000000003</v>
      </c>
      <c r="Q7" s="543">
        <v>1</v>
      </c>
      <c r="R7" s="438">
        <v>0</v>
      </c>
      <c r="S7" s="438" t="s">
        <v>664</v>
      </c>
      <c r="T7" s="438" t="s">
        <v>685</v>
      </c>
      <c r="U7" s="438" t="s">
        <v>420</v>
      </c>
      <c r="V7" s="523" t="s">
        <v>885</v>
      </c>
      <c r="W7" s="524"/>
      <c r="X7" s="525"/>
      <c r="Y7" s="438" t="s">
        <v>420</v>
      </c>
      <c r="Z7" s="523" t="s">
        <v>885</v>
      </c>
      <c r="AA7" s="524"/>
      <c r="AB7" s="525"/>
      <c r="AC7" s="139"/>
      <c r="AD7" s="139"/>
      <c r="AE7" s="139"/>
      <c r="AF7" s="139"/>
    </row>
    <row r="8" spans="2:32" ht="45">
      <c r="B8" s="379"/>
      <c r="C8" s="533"/>
      <c r="D8" s="380"/>
      <c r="E8" s="536"/>
      <c r="F8" s="380"/>
      <c r="G8" s="538"/>
      <c r="H8" s="380"/>
      <c r="I8" s="145" t="s">
        <v>727</v>
      </c>
      <c r="J8" s="380"/>
      <c r="K8" s="380"/>
      <c r="L8" s="540"/>
      <c r="M8" s="542"/>
      <c r="N8" s="544"/>
      <c r="O8" s="544"/>
      <c r="P8" s="544"/>
      <c r="Q8" s="544"/>
      <c r="R8" s="439"/>
      <c r="S8" s="439"/>
      <c r="T8" s="439"/>
      <c r="U8" s="439"/>
      <c r="V8" s="526"/>
      <c r="W8" s="527"/>
      <c r="X8" s="528"/>
      <c r="Y8" s="439"/>
      <c r="Z8" s="526"/>
      <c r="AA8" s="527"/>
      <c r="AB8" s="528"/>
      <c r="AC8" s="139"/>
      <c r="AD8" s="139"/>
      <c r="AE8" s="139"/>
      <c r="AF8" s="139"/>
    </row>
    <row r="9" spans="2:32" ht="142.5">
      <c r="B9" s="379"/>
      <c r="C9" s="533"/>
      <c r="D9" s="263" t="s">
        <v>106</v>
      </c>
      <c r="E9" s="264">
        <v>0.15</v>
      </c>
      <c r="F9" s="145" t="s">
        <v>287</v>
      </c>
      <c r="G9" s="265">
        <v>1</v>
      </c>
      <c r="H9" s="263" t="s">
        <v>107</v>
      </c>
      <c r="I9" s="145" t="s">
        <v>712</v>
      </c>
      <c r="J9" s="145" t="s">
        <v>146</v>
      </c>
      <c r="K9" s="263" t="s">
        <v>312</v>
      </c>
      <c r="L9" s="266">
        <v>43101</v>
      </c>
      <c r="M9" s="267">
        <v>43465</v>
      </c>
      <c r="N9" s="268">
        <v>1</v>
      </c>
      <c r="O9" s="268">
        <v>1</v>
      </c>
      <c r="P9" s="268">
        <v>1</v>
      </c>
      <c r="Q9" s="268">
        <v>1</v>
      </c>
      <c r="R9" s="138">
        <v>1</v>
      </c>
      <c r="S9" s="139" t="s">
        <v>672</v>
      </c>
      <c r="T9" s="138" t="s">
        <v>249</v>
      </c>
      <c r="U9" s="146">
        <v>1</v>
      </c>
      <c r="V9" s="270" t="s">
        <v>1155</v>
      </c>
      <c r="W9" s="144" t="s">
        <v>1156</v>
      </c>
      <c r="X9" s="146" t="s">
        <v>249</v>
      </c>
      <c r="Y9" s="146">
        <v>1</v>
      </c>
      <c r="Z9" s="270" t="s">
        <v>1168</v>
      </c>
      <c r="AA9" s="144" t="s">
        <v>1449</v>
      </c>
      <c r="AB9" s="334" t="s">
        <v>1457</v>
      </c>
      <c r="AC9" s="138"/>
      <c r="AD9" s="138"/>
      <c r="AE9" s="138"/>
      <c r="AF9" s="138"/>
    </row>
    <row r="10" spans="2:32" ht="409.5">
      <c r="B10" s="380"/>
      <c r="C10" s="534"/>
      <c r="D10" s="263" t="s">
        <v>108</v>
      </c>
      <c r="E10" s="264">
        <v>0.1</v>
      </c>
      <c r="F10" s="145" t="s">
        <v>287</v>
      </c>
      <c r="G10" s="265">
        <v>0.8</v>
      </c>
      <c r="H10" s="8" t="s">
        <v>851</v>
      </c>
      <c r="I10" s="145" t="s">
        <v>852</v>
      </c>
      <c r="J10" s="145" t="s">
        <v>146</v>
      </c>
      <c r="K10" s="263" t="s">
        <v>312</v>
      </c>
      <c r="L10" s="266">
        <v>43191</v>
      </c>
      <c r="M10" s="267">
        <v>43465</v>
      </c>
      <c r="N10" s="268">
        <v>0</v>
      </c>
      <c r="O10" s="268">
        <v>0.5</v>
      </c>
      <c r="P10" s="268">
        <v>0.5</v>
      </c>
      <c r="Q10" s="268">
        <v>1</v>
      </c>
      <c r="R10" s="139">
        <v>0</v>
      </c>
      <c r="S10" s="139" t="s">
        <v>666</v>
      </c>
      <c r="T10" s="138" t="s">
        <v>249</v>
      </c>
      <c r="U10" s="144">
        <f>+'DIRECCIONAMIENTO ESTRATEGICO'!U10</f>
        <v>0.9375</v>
      </c>
      <c r="V10" s="144" t="str">
        <f>+'DIRECCIONAMIENTO ESTRATEGICO'!V10</f>
        <v>(15/16)*100%=94%</v>
      </c>
      <c r="W10" s="144" t="str">
        <f>+'DIRECCIONAMIENTO ESTRATEGICO'!W10</f>
        <v xml:space="preserve">Se han ejecutado 15 de las 16 actividades planteadas en el Plan de actualización MIPG, logrando una ejecución del plan del 94%. Se recibió el informe de gestión y desempeño institucional, basado en los resultados FURAG 2017, generado por el Departamento Administrativo de la Función Pública- DAFP, el Icfes alcanzó un puntaje de 87.78 y logrando el primer puesto a nivel del Sector Educación. Por otra parte, durante el periodo informado se ha realizado campaña de divulgación del MIPG. Se realizó divulgación mensual en grupo gestor de desempeño institucional de las dimensiones del Modelo.
</v>
      </c>
      <c r="X10" s="144" t="str">
        <f>+'DIRECCIONAMIENTO ESTRATEGICO'!X10</f>
        <v>• Generación de micro sitio en el link de transparencia y acceso a la información pública, numeral 6.Planeación
• Se generó espacio en DARUMA (Sistema de información del SGC) para MIPG.</v>
      </c>
      <c r="Y10" s="138">
        <f>+'DIRECCIONAMIENTO ESTRATEGICO'!Y10</f>
        <v>0.88235294117647056</v>
      </c>
      <c r="Z10" s="138" t="str">
        <f>+'DIRECCIONAMIENTO ESTRATEGICO'!Z10</f>
        <v>(15/17)*100%=88%</v>
      </c>
      <c r="AA10" s="139" t="str">
        <f>+'DIRECCIONAMIENTO ESTRATEGICO'!AA10</f>
        <v xml:space="preserve">Se  incluyó 1 actividad en el Plan de actualización MIPG teniedno un total de 17 actividades para la vigencia 2018. Con corte a 30 de septiembre de 2018 se han ejecutado 15 de las 17 actividades logrando una ejecución del plan del 88%.  Las actividades pendientes es 1 capacitación de MIPG al personal de planta y el seguimiento al plan de actualización.
</v>
      </c>
      <c r="AB10" s="139" t="str">
        <f>+'DIRECCIONAMIENTO ESTRATEGICO'!AB10</f>
        <v>• Generación de micro sitio en el link de transparencia y acceso a la información pública, numeral 6.Planeación
• Se generó espacio en DARUMA (Sistema de información del SGC) para MIPG.</v>
      </c>
      <c r="AC10" s="138"/>
      <c r="AD10" s="138"/>
      <c r="AE10" s="138"/>
      <c r="AF10" s="138"/>
    </row>
  </sheetData>
  <autoFilter ref="B3:AF3"/>
  <mergeCells count="42">
    <mergeCell ref="P7:P8"/>
    <mergeCell ref="Q7:Q8"/>
    <mergeCell ref="S7:S8"/>
    <mergeCell ref="R7:R8"/>
    <mergeCell ref="T7:T8"/>
    <mergeCell ref="J7:J8"/>
    <mergeCell ref="K7:K8"/>
    <mergeCell ref="L7:L8"/>
    <mergeCell ref="M7:M8"/>
    <mergeCell ref="O7:O8"/>
    <mergeCell ref="N7:N8"/>
    <mergeCell ref="D7:D8"/>
    <mergeCell ref="E7:E8"/>
    <mergeCell ref="F7:F8"/>
    <mergeCell ref="G7:G8"/>
    <mergeCell ref="H7:H8"/>
    <mergeCell ref="I1:I3"/>
    <mergeCell ref="N1:Q1"/>
    <mergeCell ref="J1:J3"/>
    <mergeCell ref="K1:K3"/>
    <mergeCell ref="B4:B10"/>
    <mergeCell ref="C4:C10"/>
    <mergeCell ref="L2:L3"/>
    <mergeCell ref="M2:M3"/>
    <mergeCell ref="B1:B3"/>
    <mergeCell ref="C1:C3"/>
    <mergeCell ref="D1:D3"/>
    <mergeCell ref="E1:E3"/>
    <mergeCell ref="F1:F3"/>
    <mergeCell ref="G1:G3"/>
    <mergeCell ref="H1:H3"/>
    <mergeCell ref="L1:M1"/>
    <mergeCell ref="U7:U8"/>
    <mergeCell ref="Y2:AB2"/>
    <mergeCell ref="AC2:AF2"/>
    <mergeCell ref="R1:AF1"/>
    <mergeCell ref="R2:T2"/>
    <mergeCell ref="U2:X2"/>
    <mergeCell ref="V7:X8"/>
    <mergeCell ref="Y7:Y8"/>
    <mergeCell ref="Z7:AB8"/>
    <mergeCell ref="Y5:AB5"/>
  </mergeCells>
  <hyperlinks>
    <hyperlink ref="AB9" r:id="rId1"/>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'\\icfesserv5\planeacion$\2018\Gestión y Desempeño Institucional\Plan Sectorial\[Formato_Plan de Accion 2018_EAV - CONSOLIDADO.xlsx]Categorías'!#REF!</xm:f>
          </x14:formula1>
          <xm:sqref>B4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6" tint="0.39997558519241921"/>
  </sheetPr>
  <dimension ref="A1:AG89"/>
  <sheetViews>
    <sheetView zoomScale="60" zoomScaleNormal="60" workbookViewId="0">
      <pane xSplit="1" ySplit="3" topLeftCell="B4" activePane="bottomRight" state="frozen"/>
      <selection pane="topRight" activeCell="B1" sqref="B1"/>
      <selection pane="bottomLeft" activeCell="A4" sqref="A4"/>
      <selection pane="bottomRight" activeCell="AG1" sqref="AG1:AG1048576"/>
    </sheetView>
  </sheetViews>
  <sheetFormatPr baseColWidth="10" defaultColWidth="10.7109375" defaultRowHeight="14.25"/>
  <cols>
    <col min="1" max="1" width="24.7109375" style="72" customWidth="1"/>
    <col min="2" max="2" width="23.7109375" style="72" customWidth="1"/>
    <col min="3" max="3" width="24" style="72" customWidth="1"/>
    <col min="4" max="4" width="15.5703125" style="72" customWidth="1"/>
    <col min="5" max="5" width="17.28515625" style="72" customWidth="1"/>
    <col min="6" max="6" width="10.7109375" style="72"/>
    <col min="7" max="7" width="35.5703125" style="72" customWidth="1"/>
    <col min="8" max="8" width="35.85546875" style="72" customWidth="1"/>
    <col min="9" max="9" width="35.85546875" style="76" customWidth="1"/>
    <col min="10" max="10" width="21.85546875" style="72" customWidth="1"/>
    <col min="11" max="11" width="22.85546875" style="72" customWidth="1"/>
    <col min="12" max="13" width="15.7109375" style="72" customWidth="1"/>
    <col min="14" max="14" width="18.7109375" style="72" bestFit="1" customWidth="1"/>
    <col min="15" max="15" width="19.42578125" style="72" bestFit="1" customWidth="1"/>
    <col min="16" max="16" width="20.42578125" style="72" bestFit="1" customWidth="1"/>
    <col min="17" max="17" width="17.5703125" style="72" customWidth="1"/>
    <col min="18" max="20" width="20.7109375" style="63" hidden="1" customWidth="1"/>
    <col min="21" max="32" width="14.85546875" style="72" hidden="1" customWidth="1"/>
    <col min="33" max="33" width="0" style="72" hidden="1" customWidth="1"/>
    <col min="34" max="16384" width="10.7109375" style="72"/>
  </cols>
  <sheetData>
    <row r="1" spans="1:32" ht="18.75" customHeight="1">
      <c r="A1" s="499" t="s">
        <v>94</v>
      </c>
      <c r="B1" s="499" t="s">
        <v>74</v>
      </c>
      <c r="C1" s="499" t="s">
        <v>65</v>
      </c>
      <c r="D1" s="499" t="s">
        <v>66</v>
      </c>
      <c r="E1" s="499" t="s">
        <v>67</v>
      </c>
      <c r="F1" s="499" t="s">
        <v>68</v>
      </c>
      <c r="G1" s="499" t="s">
        <v>69</v>
      </c>
      <c r="H1" s="500" t="s">
        <v>250</v>
      </c>
      <c r="I1" s="500" t="s">
        <v>741</v>
      </c>
      <c r="J1" s="499" t="s">
        <v>145</v>
      </c>
      <c r="K1" s="499" t="s">
        <v>147</v>
      </c>
      <c r="L1" s="503" t="s">
        <v>70</v>
      </c>
      <c r="M1" s="503"/>
      <c r="N1" s="503" t="s">
        <v>79</v>
      </c>
      <c r="O1" s="503"/>
      <c r="P1" s="503"/>
      <c r="Q1" s="503"/>
      <c r="R1" s="475" t="s">
        <v>386</v>
      </c>
      <c r="S1" s="476"/>
      <c r="T1" s="476"/>
      <c r="U1" s="476"/>
      <c r="V1" s="476"/>
      <c r="W1" s="476"/>
      <c r="X1" s="476"/>
      <c r="Y1" s="476"/>
      <c r="Z1" s="476"/>
      <c r="AA1" s="476"/>
      <c r="AB1" s="476"/>
      <c r="AC1" s="476"/>
      <c r="AD1" s="476"/>
      <c r="AE1" s="476"/>
      <c r="AF1" s="476"/>
    </row>
    <row r="2" spans="1:32" ht="30" customHeight="1">
      <c r="A2" s="499"/>
      <c r="B2" s="499"/>
      <c r="C2" s="499"/>
      <c r="D2" s="499"/>
      <c r="E2" s="499"/>
      <c r="F2" s="499"/>
      <c r="G2" s="499"/>
      <c r="H2" s="501"/>
      <c r="I2" s="501"/>
      <c r="J2" s="499"/>
      <c r="K2" s="499"/>
      <c r="L2" s="511" t="s">
        <v>71</v>
      </c>
      <c r="M2" s="511" t="s">
        <v>72</v>
      </c>
      <c r="N2" s="67" t="s">
        <v>75</v>
      </c>
      <c r="O2" s="67" t="s">
        <v>76</v>
      </c>
      <c r="P2" s="67" t="s">
        <v>77</v>
      </c>
      <c r="Q2" s="67" t="s">
        <v>78</v>
      </c>
      <c r="R2" s="472" t="s">
        <v>75</v>
      </c>
      <c r="S2" s="473"/>
      <c r="T2" s="474"/>
      <c r="U2" s="472" t="s">
        <v>76</v>
      </c>
      <c r="V2" s="473"/>
      <c r="W2" s="473"/>
      <c r="X2" s="474"/>
      <c r="Y2" s="469" t="s">
        <v>77</v>
      </c>
      <c r="Z2" s="470"/>
      <c r="AA2" s="470"/>
      <c r="AB2" s="471"/>
      <c r="AC2" s="472" t="s">
        <v>78</v>
      </c>
      <c r="AD2" s="473"/>
      <c r="AE2" s="473"/>
      <c r="AF2" s="474"/>
    </row>
    <row r="3" spans="1:32" ht="70.5" customHeight="1">
      <c r="A3" s="499"/>
      <c r="B3" s="499"/>
      <c r="C3" s="499"/>
      <c r="D3" s="499"/>
      <c r="E3" s="499"/>
      <c r="F3" s="499"/>
      <c r="G3" s="499"/>
      <c r="H3" s="502"/>
      <c r="I3" s="502"/>
      <c r="J3" s="499"/>
      <c r="K3" s="499"/>
      <c r="L3" s="511"/>
      <c r="M3" s="511"/>
      <c r="N3" s="68" t="s">
        <v>64</v>
      </c>
      <c r="O3" s="68" t="s">
        <v>64</v>
      </c>
      <c r="P3" s="68" t="s">
        <v>64</v>
      </c>
      <c r="Q3" s="68" t="s">
        <v>64</v>
      </c>
      <c r="R3" s="69" t="s">
        <v>387</v>
      </c>
      <c r="S3" s="69" t="s">
        <v>388</v>
      </c>
      <c r="T3" s="69" t="s">
        <v>389</v>
      </c>
      <c r="U3" s="69" t="s">
        <v>696</v>
      </c>
      <c r="V3" s="69" t="s">
        <v>724</v>
      </c>
      <c r="W3" s="69" t="s">
        <v>708</v>
      </c>
      <c r="X3" s="69" t="s">
        <v>389</v>
      </c>
      <c r="Y3" s="293" t="s">
        <v>696</v>
      </c>
      <c r="Z3" s="293" t="s">
        <v>724</v>
      </c>
      <c r="AA3" s="293" t="s">
        <v>708</v>
      </c>
      <c r="AB3" s="293" t="s">
        <v>389</v>
      </c>
      <c r="AC3" s="69" t="s">
        <v>696</v>
      </c>
      <c r="AD3" s="69" t="s">
        <v>724</v>
      </c>
      <c r="AE3" s="69" t="s">
        <v>708</v>
      </c>
      <c r="AF3" s="69" t="s">
        <v>389</v>
      </c>
    </row>
    <row r="4" spans="1:32" ht="76.5" hidden="1" customHeight="1">
      <c r="A4" s="585" t="s">
        <v>61</v>
      </c>
      <c r="B4" s="586" t="s">
        <v>89</v>
      </c>
      <c r="C4" s="86" t="s">
        <v>293</v>
      </c>
      <c r="D4" s="85">
        <v>0.1</v>
      </c>
      <c r="E4" s="85" t="s">
        <v>128</v>
      </c>
      <c r="F4" s="65">
        <v>1</v>
      </c>
      <c r="G4" s="568" t="s">
        <v>294</v>
      </c>
      <c r="H4" s="65" t="s">
        <v>447</v>
      </c>
      <c r="I4" s="65" t="s">
        <v>783</v>
      </c>
      <c r="J4" s="65" t="s">
        <v>164</v>
      </c>
      <c r="K4" s="65" t="s">
        <v>312</v>
      </c>
      <c r="L4" s="87">
        <v>43101</v>
      </c>
      <c r="M4" s="88">
        <v>43190</v>
      </c>
      <c r="N4" s="90">
        <v>1</v>
      </c>
      <c r="O4" s="90">
        <v>0</v>
      </c>
      <c r="P4" s="90">
        <v>0</v>
      </c>
      <c r="Q4" s="90">
        <v>0</v>
      </c>
      <c r="R4" s="70">
        <v>1</v>
      </c>
      <c r="S4" s="91" t="s">
        <v>538</v>
      </c>
      <c r="T4" s="62" t="s">
        <v>539</v>
      </c>
      <c r="U4" s="550" t="s">
        <v>917</v>
      </c>
      <c r="V4" s="551"/>
      <c r="W4" s="551"/>
      <c r="X4" s="552"/>
      <c r="Y4" s="294">
        <v>1</v>
      </c>
      <c r="Z4" s="294" t="s">
        <v>520</v>
      </c>
      <c r="AA4" s="294" t="s">
        <v>520</v>
      </c>
      <c r="AB4" s="294" t="s">
        <v>520</v>
      </c>
      <c r="AC4" s="91"/>
      <c r="AD4" s="91"/>
      <c r="AE4" s="91"/>
      <c r="AF4" s="91"/>
    </row>
    <row r="5" spans="1:32" ht="299.25">
      <c r="A5" s="585"/>
      <c r="B5" s="586"/>
      <c r="C5" s="86" t="s">
        <v>295</v>
      </c>
      <c r="D5" s="85">
        <v>0.1</v>
      </c>
      <c r="E5" s="65" t="s">
        <v>95</v>
      </c>
      <c r="F5" s="86">
        <v>1</v>
      </c>
      <c r="G5" s="569"/>
      <c r="H5" s="65" t="s">
        <v>321</v>
      </c>
      <c r="I5" s="571" t="s">
        <v>920</v>
      </c>
      <c r="J5" s="65" t="s">
        <v>164</v>
      </c>
      <c r="K5" s="65" t="s">
        <v>312</v>
      </c>
      <c r="L5" s="87">
        <v>43191</v>
      </c>
      <c r="M5" s="88">
        <v>43465</v>
      </c>
      <c r="N5" s="90">
        <v>0</v>
      </c>
      <c r="O5" s="92">
        <v>0.3</v>
      </c>
      <c r="P5" s="92">
        <v>0.3</v>
      </c>
      <c r="Q5" s="92">
        <v>0.4</v>
      </c>
      <c r="R5" s="70">
        <v>0</v>
      </c>
      <c r="S5" s="62" t="s">
        <v>542</v>
      </c>
      <c r="T5" s="62" t="s">
        <v>687</v>
      </c>
      <c r="U5" s="128">
        <v>0.56000000000000005</v>
      </c>
      <c r="V5" s="553" t="s">
        <v>921</v>
      </c>
      <c r="W5" s="62" t="s">
        <v>922</v>
      </c>
      <c r="X5" s="62" t="s">
        <v>918</v>
      </c>
      <c r="Y5" s="62">
        <v>0.84</v>
      </c>
      <c r="Z5" s="312">
        <f>((37*100%)/ 44)</f>
        <v>0.84090909090909094</v>
      </c>
      <c r="AA5" s="62" t="s">
        <v>1414</v>
      </c>
      <c r="AB5" s="62" t="s">
        <v>1415</v>
      </c>
      <c r="AC5" s="62"/>
      <c r="AD5" s="62"/>
      <c r="AE5" s="62"/>
      <c r="AF5" s="62"/>
    </row>
    <row r="6" spans="1:32" ht="313.5">
      <c r="A6" s="585"/>
      <c r="B6" s="586"/>
      <c r="C6" s="86" t="s">
        <v>323</v>
      </c>
      <c r="D6" s="85">
        <v>0.05</v>
      </c>
      <c r="E6" s="65" t="s">
        <v>128</v>
      </c>
      <c r="F6" s="65">
        <v>4000</v>
      </c>
      <c r="G6" s="570"/>
      <c r="H6" s="65" t="s">
        <v>322</v>
      </c>
      <c r="I6" s="560"/>
      <c r="J6" s="65" t="s">
        <v>164</v>
      </c>
      <c r="K6" s="65" t="s">
        <v>312</v>
      </c>
      <c r="L6" s="87">
        <v>43101</v>
      </c>
      <c r="M6" s="88">
        <v>43465</v>
      </c>
      <c r="N6" s="93">
        <v>0.2</v>
      </c>
      <c r="O6" s="93">
        <v>0.3</v>
      </c>
      <c r="P6" s="93">
        <v>0.3</v>
      </c>
      <c r="Q6" s="93">
        <v>0.2</v>
      </c>
      <c r="R6" s="70">
        <v>1</v>
      </c>
      <c r="S6" s="62" t="s">
        <v>540</v>
      </c>
      <c r="T6" s="62" t="s">
        <v>541</v>
      </c>
      <c r="U6" s="128">
        <v>0.50800000000000001</v>
      </c>
      <c r="V6" s="554"/>
      <c r="W6" s="91" t="s">
        <v>923</v>
      </c>
      <c r="X6" s="91" t="s">
        <v>919</v>
      </c>
      <c r="Y6" s="62">
        <v>0.82</v>
      </c>
      <c r="Z6" s="312">
        <f>((3268*100%)/ 4000)</f>
        <v>0.81699999999999995</v>
      </c>
      <c r="AA6" s="62" t="s">
        <v>1416</v>
      </c>
      <c r="AB6" s="62" t="s">
        <v>1417</v>
      </c>
      <c r="AC6" s="62"/>
      <c r="AD6" s="62"/>
      <c r="AE6" s="62"/>
      <c r="AF6" s="62"/>
    </row>
    <row r="7" spans="1:32" ht="409.5">
      <c r="A7" s="585"/>
      <c r="B7" s="586"/>
      <c r="C7" s="86" t="s">
        <v>441</v>
      </c>
      <c r="D7" s="85">
        <v>0.05</v>
      </c>
      <c r="E7" s="85" t="s">
        <v>128</v>
      </c>
      <c r="F7" s="65">
        <v>4</v>
      </c>
      <c r="G7" s="566" t="s">
        <v>125</v>
      </c>
      <c r="H7" s="65" t="s">
        <v>438</v>
      </c>
      <c r="I7" s="568" t="s">
        <v>713</v>
      </c>
      <c r="J7" s="65" t="s">
        <v>149</v>
      </c>
      <c r="K7" s="65" t="s">
        <v>334</v>
      </c>
      <c r="L7" s="87">
        <v>43101</v>
      </c>
      <c r="M7" s="88">
        <v>43465</v>
      </c>
      <c r="N7" s="90">
        <v>1</v>
      </c>
      <c r="O7" s="90">
        <v>1</v>
      </c>
      <c r="P7" s="90">
        <v>1</v>
      </c>
      <c r="Q7" s="90">
        <v>1</v>
      </c>
      <c r="R7" s="70">
        <v>0.25</v>
      </c>
      <c r="S7" s="62" t="s">
        <v>588</v>
      </c>
      <c r="T7" s="62" t="s">
        <v>589</v>
      </c>
      <c r="U7" s="129">
        <f>2/4</f>
        <v>0.5</v>
      </c>
      <c r="V7" s="161">
        <v>1</v>
      </c>
      <c r="W7" s="62" t="s">
        <v>1018</v>
      </c>
      <c r="X7" s="62" t="s">
        <v>589</v>
      </c>
      <c r="Y7" s="62">
        <v>0.75</v>
      </c>
      <c r="Z7" s="161">
        <v>3</v>
      </c>
      <c r="AA7" s="62" t="s">
        <v>1318</v>
      </c>
      <c r="AB7" s="62" t="s">
        <v>589</v>
      </c>
      <c r="AC7" s="62"/>
      <c r="AD7" s="62"/>
      <c r="AE7" s="62"/>
      <c r="AF7" s="62"/>
    </row>
    <row r="8" spans="1:32" ht="409.5" hidden="1">
      <c r="A8" s="585"/>
      <c r="B8" s="586"/>
      <c r="C8" s="86" t="s">
        <v>440</v>
      </c>
      <c r="D8" s="85">
        <v>0.05</v>
      </c>
      <c r="E8" s="85" t="s">
        <v>128</v>
      </c>
      <c r="F8" s="65">
        <v>2</v>
      </c>
      <c r="G8" s="567"/>
      <c r="H8" s="65" t="s">
        <v>439</v>
      </c>
      <c r="I8" s="570"/>
      <c r="J8" s="65" t="s">
        <v>149</v>
      </c>
      <c r="K8" s="65" t="s">
        <v>334</v>
      </c>
      <c r="L8" s="87">
        <v>43191</v>
      </c>
      <c r="M8" s="88">
        <v>43465</v>
      </c>
      <c r="N8" s="90">
        <v>0</v>
      </c>
      <c r="O8" s="90">
        <v>1</v>
      </c>
      <c r="P8" s="90">
        <v>0</v>
      </c>
      <c r="Q8" s="90">
        <v>1</v>
      </c>
      <c r="R8" s="70">
        <v>0.5</v>
      </c>
      <c r="S8" s="94" t="s">
        <v>590</v>
      </c>
      <c r="T8" s="95" t="s">
        <v>573</v>
      </c>
      <c r="U8" s="129">
        <v>0.5</v>
      </c>
      <c r="V8" s="160">
        <v>1</v>
      </c>
      <c r="W8" s="127" t="s">
        <v>1019</v>
      </c>
      <c r="X8" s="95" t="s">
        <v>573</v>
      </c>
      <c r="Y8" s="301">
        <v>1</v>
      </c>
      <c r="Z8" s="302">
        <v>2</v>
      </c>
      <c r="AA8" s="303" t="s">
        <v>1319</v>
      </c>
      <c r="AB8" s="95" t="s">
        <v>573</v>
      </c>
      <c r="AC8" s="94"/>
      <c r="AD8" s="94"/>
      <c r="AE8" s="94"/>
      <c r="AF8" s="94"/>
    </row>
    <row r="9" spans="1:32" ht="409.5">
      <c r="A9" s="585"/>
      <c r="B9" s="586"/>
      <c r="C9" s="597" t="s">
        <v>445</v>
      </c>
      <c r="D9" s="591">
        <v>0.05</v>
      </c>
      <c r="E9" s="271" t="s">
        <v>425</v>
      </c>
      <c r="F9" s="65">
        <v>4</v>
      </c>
      <c r="G9" s="558" t="s">
        <v>442</v>
      </c>
      <c r="H9" s="77" t="s">
        <v>443</v>
      </c>
      <c r="I9" s="77" t="s">
        <v>834</v>
      </c>
      <c r="J9" s="65" t="s">
        <v>149</v>
      </c>
      <c r="K9" s="77" t="s">
        <v>334</v>
      </c>
      <c r="L9" s="87">
        <v>43101</v>
      </c>
      <c r="M9" s="88">
        <v>43465</v>
      </c>
      <c r="N9" s="92">
        <v>0.25</v>
      </c>
      <c r="O9" s="92">
        <v>0.5</v>
      </c>
      <c r="P9" s="92">
        <v>0.75</v>
      </c>
      <c r="Q9" s="92">
        <v>1</v>
      </c>
      <c r="R9" s="93">
        <v>0.25</v>
      </c>
      <c r="S9" s="62" t="s">
        <v>591</v>
      </c>
      <c r="T9" s="62" t="s">
        <v>592</v>
      </c>
      <c r="U9" s="129">
        <v>0.5</v>
      </c>
      <c r="V9" s="160">
        <v>2</v>
      </c>
      <c r="W9" s="91" t="s">
        <v>1020</v>
      </c>
      <c r="X9" s="129" t="s">
        <v>1021</v>
      </c>
      <c r="Y9" s="62">
        <v>0.75</v>
      </c>
      <c r="Z9" s="299">
        <v>3</v>
      </c>
      <c r="AA9" s="304" t="s">
        <v>1320</v>
      </c>
      <c r="AB9" s="294" t="s">
        <v>1021</v>
      </c>
      <c r="AC9" s="62"/>
      <c r="AD9" s="62"/>
      <c r="AE9" s="62"/>
      <c r="AF9" s="62"/>
    </row>
    <row r="10" spans="1:32" ht="270.75">
      <c r="A10" s="585"/>
      <c r="B10" s="586"/>
      <c r="C10" s="598"/>
      <c r="D10" s="593"/>
      <c r="E10" s="271" t="s">
        <v>425</v>
      </c>
      <c r="F10" s="65">
        <v>1</v>
      </c>
      <c r="G10" s="560"/>
      <c r="H10" s="77" t="s">
        <v>444</v>
      </c>
      <c r="I10" s="77" t="s">
        <v>835</v>
      </c>
      <c r="J10" s="65" t="s">
        <v>149</v>
      </c>
      <c r="K10" s="77" t="s">
        <v>334</v>
      </c>
      <c r="L10" s="87">
        <v>43101</v>
      </c>
      <c r="M10" s="88">
        <v>43465</v>
      </c>
      <c r="N10" s="92">
        <v>0.25</v>
      </c>
      <c r="O10" s="92">
        <v>0.5</v>
      </c>
      <c r="P10" s="92">
        <v>0.75</v>
      </c>
      <c r="Q10" s="92">
        <v>1</v>
      </c>
      <c r="R10" s="96">
        <v>0.25</v>
      </c>
      <c r="S10" s="62" t="s">
        <v>593</v>
      </c>
      <c r="T10" s="70" t="s">
        <v>594</v>
      </c>
      <c r="U10" s="129">
        <v>0.5</v>
      </c>
      <c r="V10" s="158">
        <f>1/1</f>
        <v>1</v>
      </c>
      <c r="W10" s="158" t="s">
        <v>1022</v>
      </c>
      <c r="X10" s="62" t="s">
        <v>1023</v>
      </c>
      <c r="Y10" s="62">
        <v>0.75</v>
      </c>
      <c r="Z10" s="299">
        <v>2</v>
      </c>
      <c r="AA10" s="62" t="s">
        <v>1321</v>
      </c>
      <c r="AB10" s="62" t="s">
        <v>1023</v>
      </c>
      <c r="AC10" s="62"/>
      <c r="AD10" s="62"/>
      <c r="AE10" s="62"/>
      <c r="AF10" s="62"/>
    </row>
    <row r="11" spans="1:32" ht="242.25">
      <c r="A11" s="585"/>
      <c r="B11" s="586"/>
      <c r="C11" s="86" t="s">
        <v>161</v>
      </c>
      <c r="D11" s="85">
        <v>0.1</v>
      </c>
      <c r="E11" s="65" t="s">
        <v>95</v>
      </c>
      <c r="F11" s="86">
        <v>1</v>
      </c>
      <c r="G11" s="77" t="s">
        <v>126</v>
      </c>
      <c r="H11" s="77" t="s">
        <v>126</v>
      </c>
      <c r="I11" s="64" t="s">
        <v>714</v>
      </c>
      <c r="J11" s="65" t="s">
        <v>725</v>
      </c>
      <c r="K11" s="77" t="s">
        <v>312</v>
      </c>
      <c r="L11" s="87">
        <v>43101</v>
      </c>
      <c r="M11" s="88">
        <v>43465</v>
      </c>
      <c r="N11" s="92">
        <v>1</v>
      </c>
      <c r="O11" s="92">
        <v>1</v>
      </c>
      <c r="P11" s="92">
        <v>1</v>
      </c>
      <c r="Q11" s="92">
        <v>1</v>
      </c>
      <c r="R11" s="70">
        <v>1</v>
      </c>
      <c r="S11" s="62" t="s">
        <v>1032</v>
      </c>
      <c r="T11" s="97" t="s">
        <v>543</v>
      </c>
      <c r="U11" s="91">
        <v>1</v>
      </c>
      <c r="V11" s="91" t="s">
        <v>1034</v>
      </c>
      <c r="W11" s="91" t="s">
        <v>1035</v>
      </c>
      <c r="X11" s="62" t="s">
        <v>1033</v>
      </c>
      <c r="Y11" s="319">
        <v>1</v>
      </c>
      <c r="Z11" s="319" t="s">
        <v>1034</v>
      </c>
      <c r="AA11" s="319" t="s">
        <v>1035</v>
      </c>
      <c r="AB11" s="62" t="s">
        <v>1033</v>
      </c>
      <c r="AC11" s="158" t="s">
        <v>1034</v>
      </c>
      <c r="AD11" s="158" t="s">
        <v>1035</v>
      </c>
      <c r="AE11" s="62" t="s">
        <v>1033</v>
      </c>
      <c r="AF11" s="62"/>
    </row>
    <row r="12" spans="1:32" ht="409.5" hidden="1">
      <c r="A12" s="585"/>
      <c r="B12" s="586"/>
      <c r="C12" s="86" t="s">
        <v>127</v>
      </c>
      <c r="D12" s="85">
        <v>0.1</v>
      </c>
      <c r="E12" s="85" t="s">
        <v>128</v>
      </c>
      <c r="F12" s="65">
        <v>1</v>
      </c>
      <c r="G12" s="77" t="s">
        <v>162</v>
      </c>
      <c r="H12" s="77" t="s">
        <v>162</v>
      </c>
      <c r="I12" s="77" t="s">
        <v>715</v>
      </c>
      <c r="J12" s="65" t="s">
        <v>325</v>
      </c>
      <c r="K12" s="77" t="s">
        <v>312</v>
      </c>
      <c r="L12" s="87">
        <v>43374</v>
      </c>
      <c r="M12" s="88">
        <v>43465</v>
      </c>
      <c r="N12" s="90">
        <v>0</v>
      </c>
      <c r="O12" s="90">
        <v>0</v>
      </c>
      <c r="P12" s="90">
        <v>0</v>
      </c>
      <c r="Q12" s="90">
        <v>1</v>
      </c>
      <c r="R12" s="62">
        <v>0</v>
      </c>
      <c r="S12" s="79" t="s">
        <v>774</v>
      </c>
      <c r="T12" s="62" t="s">
        <v>306</v>
      </c>
      <c r="U12" s="91">
        <v>0.15</v>
      </c>
      <c r="V12" s="62" t="s">
        <v>420</v>
      </c>
      <c r="W12" s="126" t="s">
        <v>894</v>
      </c>
      <c r="X12" s="62" t="s">
        <v>895</v>
      </c>
      <c r="Y12" s="319">
        <v>0.8</v>
      </c>
      <c r="Z12" s="62" t="s">
        <v>420</v>
      </c>
      <c r="AA12" s="333" t="s">
        <v>1243</v>
      </c>
      <c r="AB12" s="62" t="s">
        <v>1244</v>
      </c>
      <c r="AC12" s="79"/>
      <c r="AD12" s="79"/>
      <c r="AE12" s="79"/>
      <c r="AF12" s="79"/>
    </row>
    <row r="13" spans="1:32" ht="213.75" hidden="1">
      <c r="A13" s="585"/>
      <c r="B13" s="586"/>
      <c r="C13" s="588" t="s">
        <v>207</v>
      </c>
      <c r="D13" s="591">
        <v>7.0000000000000007E-2</v>
      </c>
      <c r="E13" s="85" t="s">
        <v>128</v>
      </c>
      <c r="F13" s="65">
        <v>1</v>
      </c>
      <c r="G13" s="565" t="s">
        <v>775</v>
      </c>
      <c r="H13" s="65" t="s">
        <v>308</v>
      </c>
      <c r="I13" s="558" t="s">
        <v>716</v>
      </c>
      <c r="J13" s="558" t="s">
        <v>151</v>
      </c>
      <c r="K13" s="558" t="s">
        <v>312</v>
      </c>
      <c r="L13" s="87">
        <v>43374</v>
      </c>
      <c r="M13" s="88">
        <v>43465</v>
      </c>
      <c r="N13" s="90">
        <v>0</v>
      </c>
      <c r="O13" s="90">
        <v>0</v>
      </c>
      <c r="P13" s="90">
        <v>0</v>
      </c>
      <c r="Q13" s="90">
        <v>1</v>
      </c>
      <c r="R13" s="545">
        <v>0</v>
      </c>
      <c r="S13" s="62" t="s">
        <v>639</v>
      </c>
      <c r="T13" s="62" t="s">
        <v>306</v>
      </c>
      <c r="U13" s="91">
        <f>1/1</f>
        <v>1</v>
      </c>
      <c r="V13" s="548" t="s">
        <v>1090</v>
      </c>
      <c r="W13" s="126" t="s">
        <v>1091</v>
      </c>
      <c r="X13" s="62" t="s">
        <v>1092</v>
      </c>
      <c r="Y13" s="62">
        <v>1</v>
      </c>
      <c r="Z13" s="545" t="s">
        <v>1374</v>
      </c>
      <c r="AA13" s="62" t="s">
        <v>1375</v>
      </c>
      <c r="AB13" s="62" t="s">
        <v>1092</v>
      </c>
      <c r="AC13" s="62"/>
      <c r="AD13" s="62"/>
      <c r="AE13" s="62"/>
      <c r="AF13" s="62"/>
    </row>
    <row r="14" spans="1:32" ht="256.5" hidden="1">
      <c r="A14" s="585"/>
      <c r="B14" s="586"/>
      <c r="C14" s="589"/>
      <c r="D14" s="592"/>
      <c r="E14" s="85" t="s">
        <v>128</v>
      </c>
      <c r="F14" s="65">
        <v>1</v>
      </c>
      <c r="G14" s="565"/>
      <c r="H14" s="65" t="s">
        <v>309</v>
      </c>
      <c r="I14" s="560"/>
      <c r="J14" s="559"/>
      <c r="K14" s="559"/>
      <c r="L14" s="87">
        <v>43374</v>
      </c>
      <c r="M14" s="88">
        <v>43465</v>
      </c>
      <c r="N14" s="90">
        <v>0</v>
      </c>
      <c r="O14" s="90">
        <v>0</v>
      </c>
      <c r="P14" s="90">
        <v>0</v>
      </c>
      <c r="Q14" s="90">
        <v>1</v>
      </c>
      <c r="R14" s="546"/>
      <c r="S14" s="62" t="s">
        <v>640</v>
      </c>
      <c r="T14" s="62" t="s">
        <v>306</v>
      </c>
      <c r="U14" s="62" t="s">
        <v>306</v>
      </c>
      <c r="V14" s="549"/>
      <c r="W14" s="126" t="s">
        <v>1093</v>
      </c>
      <c r="X14" s="62" t="s">
        <v>1094</v>
      </c>
      <c r="Y14" s="62">
        <v>1</v>
      </c>
      <c r="Z14" s="547"/>
      <c r="AA14" s="62" t="s">
        <v>1093</v>
      </c>
      <c r="AB14" s="62" t="s">
        <v>1094</v>
      </c>
      <c r="AC14" s="62"/>
      <c r="AD14" s="62"/>
      <c r="AE14" s="62"/>
      <c r="AF14" s="62"/>
    </row>
    <row r="15" spans="1:32" ht="409.5">
      <c r="A15" s="585"/>
      <c r="B15" s="586"/>
      <c r="C15" s="590"/>
      <c r="D15" s="593"/>
      <c r="E15" s="65" t="s">
        <v>95</v>
      </c>
      <c r="F15" s="86">
        <v>1</v>
      </c>
      <c r="G15" s="565"/>
      <c r="H15" s="65" t="s">
        <v>310</v>
      </c>
      <c r="I15" s="558" t="s">
        <v>828</v>
      </c>
      <c r="J15" s="560"/>
      <c r="K15" s="559"/>
      <c r="L15" s="87">
        <v>43282</v>
      </c>
      <c r="M15" s="88">
        <v>43465</v>
      </c>
      <c r="N15" s="92">
        <v>0</v>
      </c>
      <c r="O15" s="92">
        <v>0</v>
      </c>
      <c r="P15" s="92">
        <v>0.3</v>
      </c>
      <c r="Q15" s="92">
        <v>1</v>
      </c>
      <c r="R15" s="546"/>
      <c r="S15" s="62" t="s">
        <v>641</v>
      </c>
      <c r="T15" s="62" t="s">
        <v>306</v>
      </c>
      <c r="U15" s="62" t="s">
        <v>306</v>
      </c>
      <c r="V15" s="548" t="s">
        <v>1157</v>
      </c>
      <c r="W15" s="126" t="s">
        <v>1095</v>
      </c>
      <c r="X15" s="62" t="s">
        <v>1068</v>
      </c>
      <c r="Y15" s="338">
        <f>2.5/36</f>
        <v>6.9444444444444448E-2</v>
      </c>
      <c r="Z15" s="338" t="s">
        <v>1376</v>
      </c>
      <c r="AA15" s="338" t="s">
        <v>1377</v>
      </c>
      <c r="AB15" s="338" t="s">
        <v>1378</v>
      </c>
      <c r="AC15" s="62"/>
      <c r="AD15" s="62"/>
      <c r="AE15" s="62"/>
      <c r="AF15" s="62"/>
    </row>
    <row r="16" spans="1:32" ht="409.5">
      <c r="A16" s="585"/>
      <c r="B16" s="586"/>
      <c r="C16" s="86" t="s">
        <v>208</v>
      </c>
      <c r="D16" s="85">
        <v>7.0000000000000007E-2</v>
      </c>
      <c r="E16" s="65" t="s">
        <v>95</v>
      </c>
      <c r="F16" s="86">
        <v>1</v>
      </c>
      <c r="G16" s="565"/>
      <c r="H16" s="65" t="s">
        <v>311</v>
      </c>
      <c r="I16" s="560"/>
      <c r="J16" s="77" t="s">
        <v>151</v>
      </c>
      <c r="K16" s="560"/>
      <c r="L16" s="87">
        <v>43282</v>
      </c>
      <c r="M16" s="88">
        <v>43465</v>
      </c>
      <c r="N16" s="92">
        <v>0</v>
      </c>
      <c r="O16" s="92">
        <v>0</v>
      </c>
      <c r="P16" s="92">
        <v>0.3</v>
      </c>
      <c r="Q16" s="92">
        <v>1</v>
      </c>
      <c r="R16" s="547"/>
      <c r="S16" s="62" t="s">
        <v>642</v>
      </c>
      <c r="T16" s="62" t="s">
        <v>306</v>
      </c>
      <c r="U16" s="62" t="s">
        <v>306</v>
      </c>
      <c r="V16" s="549"/>
      <c r="W16" s="126" t="s">
        <v>1096</v>
      </c>
      <c r="X16" s="62" t="s">
        <v>1068</v>
      </c>
      <c r="Y16" s="338">
        <f>14.5/36</f>
        <v>0.40277777777777779</v>
      </c>
      <c r="Z16" s="338" t="s">
        <v>1379</v>
      </c>
      <c r="AA16" s="338" t="s">
        <v>1380</v>
      </c>
      <c r="AB16" s="338" t="s">
        <v>1094</v>
      </c>
      <c r="AC16" s="62"/>
      <c r="AD16" s="62"/>
      <c r="AE16" s="62"/>
      <c r="AF16" s="62"/>
    </row>
    <row r="17" spans="1:33" ht="135">
      <c r="A17" s="585"/>
      <c r="B17" s="586"/>
      <c r="C17" s="597" t="s">
        <v>163</v>
      </c>
      <c r="D17" s="591">
        <v>0.1</v>
      </c>
      <c r="E17" s="568" t="s">
        <v>95</v>
      </c>
      <c r="F17" s="597">
        <v>1</v>
      </c>
      <c r="G17" s="621" t="s">
        <v>90</v>
      </c>
      <c r="H17" s="568" t="s">
        <v>320</v>
      </c>
      <c r="I17" s="64" t="s">
        <v>717</v>
      </c>
      <c r="J17" s="77" t="s">
        <v>148</v>
      </c>
      <c r="K17" s="558" t="s">
        <v>312</v>
      </c>
      <c r="L17" s="575">
        <v>43101</v>
      </c>
      <c r="M17" s="578">
        <v>43465</v>
      </c>
      <c r="N17" s="581">
        <v>1</v>
      </c>
      <c r="O17" s="581">
        <v>1</v>
      </c>
      <c r="P17" s="581">
        <v>1</v>
      </c>
      <c r="Q17" s="581">
        <v>1</v>
      </c>
      <c r="R17" s="545">
        <v>1</v>
      </c>
      <c r="S17" s="545" t="s">
        <v>614</v>
      </c>
      <c r="T17" s="545" t="s">
        <v>615</v>
      </c>
      <c r="U17" s="91">
        <v>1</v>
      </c>
      <c r="V17" s="147" t="s">
        <v>884</v>
      </c>
      <c r="W17" s="158" t="s">
        <v>882</v>
      </c>
      <c r="X17" s="62" t="s">
        <v>883</v>
      </c>
      <c r="Y17" s="338">
        <v>1</v>
      </c>
      <c r="Z17" s="191" t="s">
        <v>1488</v>
      </c>
      <c r="AA17" s="338" t="s">
        <v>1489</v>
      </c>
      <c r="AB17" s="338" t="s">
        <v>883</v>
      </c>
      <c r="AC17" s="62"/>
      <c r="AD17" s="62"/>
      <c r="AE17" s="62"/>
      <c r="AF17" s="62"/>
    </row>
    <row r="18" spans="1:33" ht="300">
      <c r="A18" s="585"/>
      <c r="B18" s="586"/>
      <c r="C18" s="620"/>
      <c r="D18" s="592"/>
      <c r="E18" s="569"/>
      <c r="F18" s="620"/>
      <c r="G18" s="559"/>
      <c r="H18" s="569"/>
      <c r="I18" s="64" t="s">
        <v>847</v>
      </c>
      <c r="J18" s="77" t="s">
        <v>844</v>
      </c>
      <c r="K18" s="559"/>
      <c r="L18" s="576"/>
      <c r="M18" s="579"/>
      <c r="N18" s="582"/>
      <c r="O18" s="582"/>
      <c r="P18" s="582"/>
      <c r="Q18" s="582"/>
      <c r="R18" s="546"/>
      <c r="S18" s="546"/>
      <c r="T18" s="546"/>
      <c r="U18" s="130">
        <v>1</v>
      </c>
      <c r="V18" s="157" t="s">
        <v>988</v>
      </c>
      <c r="W18" s="162" t="s">
        <v>979</v>
      </c>
      <c r="X18" s="62" t="s">
        <v>615</v>
      </c>
      <c r="Y18" s="339">
        <v>1</v>
      </c>
      <c r="Z18" s="340" t="s">
        <v>1322</v>
      </c>
      <c r="AA18" s="341" t="s">
        <v>1323</v>
      </c>
      <c r="AB18" s="342" t="s">
        <v>615</v>
      </c>
      <c r="AC18" s="62"/>
      <c r="AD18" s="62"/>
      <c r="AE18" s="62"/>
      <c r="AF18" s="62"/>
    </row>
    <row r="19" spans="1:33" ht="409.5">
      <c r="A19" s="585"/>
      <c r="B19" s="586"/>
      <c r="C19" s="598"/>
      <c r="D19" s="593"/>
      <c r="E19" s="570"/>
      <c r="F19" s="598"/>
      <c r="G19" s="560"/>
      <c r="H19" s="570"/>
      <c r="I19" s="64" t="s">
        <v>848</v>
      </c>
      <c r="J19" s="77" t="s">
        <v>844</v>
      </c>
      <c r="K19" s="560"/>
      <c r="L19" s="577"/>
      <c r="M19" s="580"/>
      <c r="N19" s="583"/>
      <c r="O19" s="583"/>
      <c r="P19" s="583"/>
      <c r="Q19" s="583"/>
      <c r="R19" s="547"/>
      <c r="S19" s="547"/>
      <c r="T19" s="547"/>
      <c r="U19" s="130">
        <v>1</v>
      </c>
      <c r="V19" s="157" t="s">
        <v>989</v>
      </c>
      <c r="W19" s="162" t="s">
        <v>980</v>
      </c>
      <c r="X19" s="62" t="s">
        <v>615</v>
      </c>
      <c r="Y19" s="339">
        <v>1</v>
      </c>
      <c r="Z19" s="340" t="s">
        <v>1324</v>
      </c>
      <c r="AA19" s="341" t="s">
        <v>1325</v>
      </c>
      <c r="AB19" s="342" t="s">
        <v>615</v>
      </c>
      <c r="AC19" s="62"/>
      <c r="AD19" s="62"/>
      <c r="AE19" s="62"/>
      <c r="AF19" s="62"/>
    </row>
    <row r="20" spans="1:33" ht="234" hidden="1">
      <c r="A20" s="585"/>
      <c r="B20" s="587" t="s">
        <v>91</v>
      </c>
      <c r="C20" s="86" t="s">
        <v>781</v>
      </c>
      <c r="D20" s="85">
        <v>0.08</v>
      </c>
      <c r="E20" s="85" t="s">
        <v>128</v>
      </c>
      <c r="F20" s="65">
        <v>1</v>
      </c>
      <c r="G20" s="565" t="s">
        <v>776</v>
      </c>
      <c r="H20" s="568" t="s">
        <v>728</v>
      </c>
      <c r="I20" s="86" t="s">
        <v>781</v>
      </c>
      <c r="J20" s="77" t="s">
        <v>153</v>
      </c>
      <c r="K20" s="77" t="s">
        <v>312</v>
      </c>
      <c r="L20" s="87">
        <v>43101</v>
      </c>
      <c r="M20" s="88">
        <v>43190</v>
      </c>
      <c r="N20" s="92">
        <v>1</v>
      </c>
      <c r="O20" s="90">
        <v>0</v>
      </c>
      <c r="P20" s="90">
        <v>0</v>
      </c>
      <c r="Q20" s="90">
        <v>0</v>
      </c>
      <c r="R20" s="62">
        <v>1</v>
      </c>
      <c r="S20" s="62" t="s">
        <v>616</v>
      </c>
      <c r="T20" s="62" t="s">
        <v>617</v>
      </c>
      <c r="U20" s="130">
        <v>1</v>
      </c>
      <c r="V20" s="157" t="s">
        <v>981</v>
      </c>
      <c r="W20" s="131" t="s">
        <v>982</v>
      </c>
      <c r="X20" s="62" t="s">
        <v>983</v>
      </c>
      <c r="Y20" s="305">
        <v>1</v>
      </c>
      <c r="Z20" s="306" t="s">
        <v>981</v>
      </c>
      <c r="AA20" s="308" t="s">
        <v>982</v>
      </c>
      <c r="AB20" s="307" t="s">
        <v>983</v>
      </c>
      <c r="AC20" s="62"/>
      <c r="AD20" s="62"/>
      <c r="AE20" s="62"/>
      <c r="AF20" s="62"/>
    </row>
    <row r="21" spans="1:33" ht="409.5">
      <c r="A21" s="585"/>
      <c r="B21" s="587"/>
      <c r="C21" s="86" t="s">
        <v>782</v>
      </c>
      <c r="D21" s="85">
        <v>0.08</v>
      </c>
      <c r="E21" s="65" t="s">
        <v>95</v>
      </c>
      <c r="F21" s="86">
        <v>1</v>
      </c>
      <c r="G21" s="565"/>
      <c r="H21" s="569"/>
      <c r="I21" s="82" t="s">
        <v>843</v>
      </c>
      <c r="J21" s="77" t="s">
        <v>153</v>
      </c>
      <c r="K21" s="77" t="s">
        <v>312</v>
      </c>
      <c r="L21" s="87">
        <v>43191</v>
      </c>
      <c r="M21" s="88">
        <v>43465</v>
      </c>
      <c r="N21" s="90">
        <v>0</v>
      </c>
      <c r="O21" s="92">
        <v>0.2</v>
      </c>
      <c r="P21" s="92">
        <v>0.4</v>
      </c>
      <c r="Q21" s="92">
        <v>0.4</v>
      </c>
      <c r="R21" s="62">
        <v>0.6</v>
      </c>
      <c r="S21" s="62" t="s">
        <v>619</v>
      </c>
      <c r="T21" s="62" t="s">
        <v>618</v>
      </c>
      <c r="U21" s="130">
        <v>0.41</v>
      </c>
      <c r="V21" s="62" t="s">
        <v>990</v>
      </c>
      <c r="W21" s="62" t="s">
        <v>984</v>
      </c>
      <c r="X21" s="62" t="s">
        <v>618</v>
      </c>
      <c r="Y21" s="342">
        <v>0.64</v>
      </c>
      <c r="Z21" s="342" t="s">
        <v>1326</v>
      </c>
      <c r="AA21" s="341" t="s">
        <v>1327</v>
      </c>
      <c r="AB21" s="342" t="s">
        <v>618</v>
      </c>
      <c r="AC21" s="62"/>
      <c r="AD21" s="62"/>
      <c r="AE21" s="62"/>
      <c r="AF21" s="62"/>
    </row>
    <row r="22" spans="1:33" s="100" customFormat="1" ht="409.5">
      <c r="A22" s="584" t="s">
        <v>187</v>
      </c>
      <c r="B22" s="585" t="s">
        <v>335</v>
      </c>
      <c r="C22" s="572" t="s">
        <v>313</v>
      </c>
      <c r="D22" s="594" t="s">
        <v>420</v>
      </c>
      <c r="E22" s="614" t="s">
        <v>95</v>
      </c>
      <c r="F22" s="617">
        <v>1</v>
      </c>
      <c r="G22" s="611" t="s">
        <v>196</v>
      </c>
      <c r="H22" s="98" t="s">
        <v>456</v>
      </c>
      <c r="I22" s="611" t="s">
        <v>804</v>
      </c>
      <c r="J22" s="572" t="s">
        <v>151</v>
      </c>
      <c r="K22" s="572" t="s">
        <v>312</v>
      </c>
      <c r="L22" s="99">
        <v>43115</v>
      </c>
      <c r="M22" s="99">
        <v>43465</v>
      </c>
      <c r="N22" s="89">
        <v>0.25</v>
      </c>
      <c r="O22" s="89">
        <v>0.5</v>
      </c>
      <c r="P22" s="89">
        <v>0.75</v>
      </c>
      <c r="Q22" s="89">
        <v>1</v>
      </c>
      <c r="R22" s="62">
        <v>0.25</v>
      </c>
      <c r="S22" s="62" t="s">
        <v>643</v>
      </c>
      <c r="T22" s="62" t="s">
        <v>623</v>
      </c>
      <c r="U22" s="130">
        <f>2/4</f>
        <v>0.5</v>
      </c>
      <c r="V22" s="545" t="s">
        <v>1109</v>
      </c>
      <c r="W22" s="62" t="s">
        <v>1097</v>
      </c>
      <c r="X22" s="62" t="s">
        <v>1098</v>
      </c>
      <c r="Y22" s="338">
        <f>3/4</f>
        <v>0.75</v>
      </c>
      <c r="Z22" s="555" t="s">
        <v>1381</v>
      </c>
      <c r="AA22" s="338" t="s">
        <v>1382</v>
      </c>
      <c r="AB22" s="338" t="s">
        <v>1383</v>
      </c>
      <c r="AC22" s="62"/>
      <c r="AD22" s="62"/>
      <c r="AE22" s="62"/>
      <c r="AF22" s="62"/>
    </row>
    <row r="23" spans="1:33" s="100" customFormat="1" ht="409.5">
      <c r="A23" s="584"/>
      <c r="B23" s="585"/>
      <c r="C23" s="573"/>
      <c r="D23" s="595"/>
      <c r="E23" s="615"/>
      <c r="F23" s="618"/>
      <c r="G23" s="612"/>
      <c r="H23" s="98" t="s">
        <v>457</v>
      </c>
      <c r="I23" s="612"/>
      <c r="J23" s="573"/>
      <c r="K23" s="573"/>
      <c r="L23" s="99">
        <v>43115</v>
      </c>
      <c r="M23" s="99">
        <v>43465</v>
      </c>
      <c r="N23" s="89">
        <v>0.25</v>
      </c>
      <c r="O23" s="89">
        <v>0.5</v>
      </c>
      <c r="P23" s="89">
        <v>0.75</v>
      </c>
      <c r="Q23" s="89">
        <v>1</v>
      </c>
      <c r="R23" s="62">
        <v>0.25</v>
      </c>
      <c r="S23" s="62" t="s">
        <v>644</v>
      </c>
      <c r="T23" s="62" t="s">
        <v>623</v>
      </c>
      <c r="U23" s="130">
        <f>2/4</f>
        <v>0.5</v>
      </c>
      <c r="V23" s="546"/>
      <c r="W23" s="62" t="s">
        <v>1099</v>
      </c>
      <c r="X23" s="62" t="s">
        <v>1100</v>
      </c>
      <c r="Y23" s="338">
        <f>3/4</f>
        <v>0.75</v>
      </c>
      <c r="Z23" s="556"/>
      <c r="AA23" s="338" t="s">
        <v>1384</v>
      </c>
      <c r="AB23" s="338" t="s">
        <v>1385</v>
      </c>
      <c r="AC23" s="62"/>
      <c r="AD23" s="62"/>
      <c r="AE23" s="62"/>
      <c r="AF23" s="62"/>
    </row>
    <row r="24" spans="1:33" s="100" customFormat="1" ht="345">
      <c r="A24" s="584"/>
      <c r="B24" s="585"/>
      <c r="C24" s="574"/>
      <c r="D24" s="595"/>
      <c r="E24" s="616"/>
      <c r="F24" s="619"/>
      <c r="G24" s="613"/>
      <c r="H24" s="98" t="s">
        <v>458</v>
      </c>
      <c r="I24" s="613"/>
      <c r="J24" s="573"/>
      <c r="K24" s="573"/>
      <c r="L24" s="99">
        <v>43115</v>
      </c>
      <c r="M24" s="99">
        <v>43465</v>
      </c>
      <c r="N24" s="89">
        <v>0.25</v>
      </c>
      <c r="O24" s="89">
        <v>0.5</v>
      </c>
      <c r="P24" s="89">
        <v>0.75</v>
      </c>
      <c r="Q24" s="89">
        <v>1</v>
      </c>
      <c r="R24" s="62">
        <v>0.25</v>
      </c>
      <c r="S24" s="62" t="s">
        <v>645</v>
      </c>
      <c r="T24" s="62" t="s">
        <v>646</v>
      </c>
      <c r="U24" s="130">
        <f>2/4</f>
        <v>0.5</v>
      </c>
      <c r="V24" s="547"/>
      <c r="W24" s="62" t="s">
        <v>1101</v>
      </c>
      <c r="X24" s="62" t="s">
        <v>1102</v>
      </c>
      <c r="Y24" s="338">
        <f>3/4</f>
        <v>0.75</v>
      </c>
      <c r="Z24" s="557"/>
      <c r="AA24" s="338" t="s">
        <v>1386</v>
      </c>
      <c r="AB24" s="338" t="s">
        <v>1102</v>
      </c>
      <c r="AC24" s="62"/>
      <c r="AD24" s="62"/>
      <c r="AE24" s="62"/>
      <c r="AF24" s="62"/>
    </row>
    <row r="25" spans="1:33" s="100" customFormat="1" ht="409.5">
      <c r="A25" s="584"/>
      <c r="B25" s="585"/>
      <c r="C25" s="572" t="s">
        <v>314</v>
      </c>
      <c r="D25" s="595"/>
      <c r="E25" s="614" t="s">
        <v>95</v>
      </c>
      <c r="F25" s="617">
        <v>1</v>
      </c>
      <c r="G25" s="611" t="s">
        <v>197</v>
      </c>
      <c r="H25" s="98" t="s">
        <v>459</v>
      </c>
      <c r="I25" s="611" t="s">
        <v>805</v>
      </c>
      <c r="J25" s="573"/>
      <c r="K25" s="573"/>
      <c r="L25" s="99">
        <v>43115</v>
      </c>
      <c r="M25" s="99">
        <v>43465</v>
      </c>
      <c r="N25" s="89">
        <v>0.25</v>
      </c>
      <c r="O25" s="89">
        <v>0.5</v>
      </c>
      <c r="P25" s="89">
        <v>0.75</v>
      </c>
      <c r="Q25" s="89">
        <v>1</v>
      </c>
      <c r="R25" s="62">
        <v>0.25</v>
      </c>
      <c r="S25" s="62" t="s">
        <v>649</v>
      </c>
      <c r="T25" s="62" t="s">
        <v>650</v>
      </c>
      <c r="U25" s="130">
        <f>21/50</f>
        <v>0.42</v>
      </c>
      <c r="V25" s="62" t="s">
        <v>1110</v>
      </c>
      <c r="W25" s="62" t="s">
        <v>1103</v>
      </c>
      <c r="X25" s="62" t="s">
        <v>1104</v>
      </c>
      <c r="Y25" s="342">
        <f>53/75</f>
        <v>0.70666666666666667</v>
      </c>
      <c r="Z25" s="342" t="s">
        <v>1387</v>
      </c>
      <c r="AA25" s="341" t="s">
        <v>1388</v>
      </c>
      <c r="AB25" s="342" t="s">
        <v>1389</v>
      </c>
      <c r="AC25" s="62"/>
      <c r="AD25" s="62"/>
      <c r="AE25" s="62"/>
      <c r="AF25" s="62"/>
    </row>
    <row r="26" spans="1:33" s="100" customFormat="1" ht="159" customHeight="1">
      <c r="A26" s="584"/>
      <c r="B26" s="585"/>
      <c r="C26" s="573"/>
      <c r="D26" s="595"/>
      <c r="E26" s="615"/>
      <c r="F26" s="618"/>
      <c r="G26" s="612"/>
      <c r="H26" s="98" t="s">
        <v>460</v>
      </c>
      <c r="I26" s="612"/>
      <c r="J26" s="573"/>
      <c r="K26" s="573"/>
      <c r="L26" s="99">
        <v>43115</v>
      </c>
      <c r="M26" s="99">
        <v>43465</v>
      </c>
      <c r="N26" s="89">
        <v>0.25</v>
      </c>
      <c r="O26" s="89">
        <v>0.5</v>
      </c>
      <c r="P26" s="89">
        <v>0.75</v>
      </c>
      <c r="Q26" s="89">
        <v>1</v>
      </c>
      <c r="R26" s="62">
        <v>0.25</v>
      </c>
      <c r="S26" s="62" t="s">
        <v>647</v>
      </c>
      <c r="T26" s="62" t="s">
        <v>646</v>
      </c>
      <c r="U26" s="130">
        <f>23/50</f>
        <v>0.46</v>
      </c>
      <c r="V26" s="62" t="s">
        <v>1111</v>
      </c>
      <c r="W26" s="62" t="s">
        <v>1105</v>
      </c>
      <c r="X26" s="62" t="s">
        <v>1106</v>
      </c>
      <c r="Y26" s="342">
        <f>(25+25+12.5)/75</f>
        <v>0.83333333333333337</v>
      </c>
      <c r="Z26" s="342" t="s">
        <v>1390</v>
      </c>
      <c r="AA26" s="341" t="s">
        <v>1391</v>
      </c>
      <c r="AB26" s="342" t="s">
        <v>1392</v>
      </c>
      <c r="AC26" s="62"/>
      <c r="AD26" s="62"/>
      <c r="AE26" s="62"/>
      <c r="AF26" s="62"/>
      <c r="AG26" s="163"/>
    </row>
    <row r="27" spans="1:33" s="100" customFormat="1" ht="409.5">
      <c r="A27" s="584"/>
      <c r="B27" s="585"/>
      <c r="C27" s="574"/>
      <c r="D27" s="595"/>
      <c r="E27" s="616"/>
      <c r="F27" s="619"/>
      <c r="G27" s="613"/>
      <c r="H27" s="101" t="s">
        <v>461</v>
      </c>
      <c r="I27" s="613"/>
      <c r="J27" s="574"/>
      <c r="K27" s="574"/>
      <c r="L27" s="99">
        <v>43115</v>
      </c>
      <c r="M27" s="99">
        <v>43465</v>
      </c>
      <c r="N27" s="89">
        <v>0.25</v>
      </c>
      <c r="O27" s="89">
        <v>0.5</v>
      </c>
      <c r="P27" s="89">
        <v>0.75</v>
      </c>
      <c r="Q27" s="89">
        <v>1</v>
      </c>
      <c r="R27" s="62">
        <v>0.25</v>
      </c>
      <c r="S27" s="62" t="s">
        <v>648</v>
      </c>
      <c r="T27" s="62" t="s">
        <v>623</v>
      </c>
      <c r="U27" s="130">
        <f>22/50</f>
        <v>0.44</v>
      </c>
      <c r="V27" s="62" t="s">
        <v>1112</v>
      </c>
      <c r="W27" s="62" t="s">
        <v>1107</v>
      </c>
      <c r="X27" s="62" t="s">
        <v>1108</v>
      </c>
      <c r="Y27" s="342">
        <f>55/75</f>
        <v>0.73333333333333328</v>
      </c>
      <c r="Z27" s="342" t="s">
        <v>1393</v>
      </c>
      <c r="AA27" s="341" t="s">
        <v>1394</v>
      </c>
      <c r="AB27" s="342" t="s">
        <v>1395</v>
      </c>
      <c r="AC27" s="62"/>
      <c r="AD27" s="62"/>
      <c r="AE27" s="62"/>
      <c r="AF27" s="62"/>
    </row>
    <row r="28" spans="1:33" ht="409.5">
      <c r="A28" s="584"/>
      <c r="B28" s="565" t="s">
        <v>194</v>
      </c>
      <c r="C28" s="599" t="s">
        <v>315</v>
      </c>
      <c r="D28" s="595"/>
      <c r="E28" s="608" t="s">
        <v>95</v>
      </c>
      <c r="F28" s="599">
        <v>1</v>
      </c>
      <c r="G28" s="602" t="s">
        <v>316</v>
      </c>
      <c r="H28" s="102" t="s">
        <v>198</v>
      </c>
      <c r="I28" s="66" t="s">
        <v>806</v>
      </c>
      <c r="J28" s="564" t="s">
        <v>151</v>
      </c>
      <c r="K28" s="558" t="s">
        <v>312</v>
      </c>
      <c r="L28" s="605">
        <v>43115</v>
      </c>
      <c r="M28" s="605">
        <v>43465</v>
      </c>
      <c r="N28" s="561">
        <v>0.2</v>
      </c>
      <c r="O28" s="561">
        <v>0.5</v>
      </c>
      <c r="P28" s="561">
        <v>0.75</v>
      </c>
      <c r="Q28" s="561">
        <v>1</v>
      </c>
      <c r="R28" s="545">
        <v>0.2</v>
      </c>
      <c r="S28" s="62" t="s">
        <v>651</v>
      </c>
      <c r="T28" s="62" t="s">
        <v>652</v>
      </c>
      <c r="U28" s="130">
        <f>7/11</f>
        <v>0.63636363636363635</v>
      </c>
      <c r="V28" s="62" t="s">
        <v>1127</v>
      </c>
      <c r="W28" s="62" t="s">
        <v>1113</v>
      </c>
      <c r="X28" s="62" t="s">
        <v>1114</v>
      </c>
      <c r="Y28" s="342">
        <f>8/11</f>
        <v>0.72727272727272729</v>
      </c>
      <c r="Z28" s="342" t="s">
        <v>1396</v>
      </c>
      <c r="AA28" s="341" t="s">
        <v>1397</v>
      </c>
      <c r="AB28" s="342" t="s">
        <v>1398</v>
      </c>
      <c r="AC28" s="62"/>
      <c r="AD28" s="62"/>
      <c r="AE28" s="62"/>
      <c r="AF28" s="62"/>
    </row>
    <row r="29" spans="1:33" ht="409.5">
      <c r="A29" s="584"/>
      <c r="B29" s="565"/>
      <c r="C29" s="600"/>
      <c r="D29" s="595"/>
      <c r="E29" s="609"/>
      <c r="F29" s="600"/>
      <c r="G29" s="603"/>
      <c r="H29" s="102" t="s">
        <v>199</v>
      </c>
      <c r="I29" s="66" t="s">
        <v>807</v>
      </c>
      <c r="J29" s="564"/>
      <c r="K29" s="559"/>
      <c r="L29" s="606"/>
      <c r="M29" s="606"/>
      <c r="N29" s="562"/>
      <c r="O29" s="562"/>
      <c r="P29" s="562"/>
      <c r="Q29" s="562"/>
      <c r="R29" s="546"/>
      <c r="S29" s="62" t="s">
        <v>653</v>
      </c>
      <c r="T29" s="62" t="s">
        <v>652</v>
      </c>
      <c r="U29" s="130">
        <f>126/133</f>
        <v>0.94736842105263153</v>
      </c>
      <c r="V29" s="62" t="s">
        <v>1128</v>
      </c>
      <c r="W29" s="62" t="s">
        <v>1115</v>
      </c>
      <c r="X29" s="62" t="s">
        <v>1116</v>
      </c>
      <c r="Y29" s="342">
        <f>(126+53)/133</f>
        <v>1.3458646616541354</v>
      </c>
      <c r="Z29" s="342" t="s">
        <v>1399</v>
      </c>
      <c r="AA29" s="341" t="s">
        <v>1400</v>
      </c>
      <c r="AB29" s="342" t="s">
        <v>684</v>
      </c>
      <c r="AC29" s="62"/>
      <c r="AD29" s="62"/>
      <c r="AE29" s="62"/>
      <c r="AF29" s="62"/>
    </row>
    <row r="30" spans="1:33" ht="409.5">
      <c r="A30" s="584"/>
      <c r="B30" s="565"/>
      <c r="C30" s="600"/>
      <c r="D30" s="595"/>
      <c r="E30" s="609"/>
      <c r="F30" s="600"/>
      <c r="G30" s="603"/>
      <c r="H30" s="102" t="s">
        <v>200</v>
      </c>
      <c r="I30" s="66" t="s">
        <v>808</v>
      </c>
      <c r="J30" s="564"/>
      <c r="K30" s="559"/>
      <c r="L30" s="606"/>
      <c r="M30" s="606"/>
      <c r="N30" s="562"/>
      <c r="O30" s="562"/>
      <c r="P30" s="562"/>
      <c r="Q30" s="562"/>
      <c r="R30" s="546"/>
      <c r="S30" s="62" t="s">
        <v>654</v>
      </c>
      <c r="T30" s="62" t="s">
        <v>655</v>
      </c>
      <c r="U30" s="130">
        <f>2/3</f>
        <v>0.66666666666666663</v>
      </c>
      <c r="V30" s="62" t="s">
        <v>1129</v>
      </c>
      <c r="W30" s="62" t="s">
        <v>1117</v>
      </c>
      <c r="X30" s="62" t="s">
        <v>1118</v>
      </c>
      <c r="Y30" s="342">
        <f>4/3</f>
        <v>1.3333333333333333</v>
      </c>
      <c r="Z30" s="342" t="s">
        <v>1401</v>
      </c>
      <c r="AA30" s="341" t="s">
        <v>1402</v>
      </c>
      <c r="AB30" s="342" t="s">
        <v>684</v>
      </c>
      <c r="AC30" s="62"/>
      <c r="AD30" s="62"/>
      <c r="AE30" s="62"/>
      <c r="AF30" s="62"/>
    </row>
    <row r="31" spans="1:33" ht="409.5">
      <c r="A31" s="584"/>
      <c r="B31" s="565"/>
      <c r="C31" s="600"/>
      <c r="D31" s="595"/>
      <c r="E31" s="609"/>
      <c r="F31" s="600"/>
      <c r="G31" s="603"/>
      <c r="H31" s="102" t="s">
        <v>201</v>
      </c>
      <c r="I31" s="66" t="s">
        <v>809</v>
      </c>
      <c r="J31" s="564"/>
      <c r="K31" s="559"/>
      <c r="L31" s="606"/>
      <c r="M31" s="606"/>
      <c r="N31" s="562"/>
      <c r="O31" s="562"/>
      <c r="P31" s="562"/>
      <c r="Q31" s="562"/>
      <c r="R31" s="546"/>
      <c r="S31" s="62" t="s">
        <v>656</v>
      </c>
      <c r="T31" s="62" t="s">
        <v>657</v>
      </c>
      <c r="U31" s="130">
        <f>9/43</f>
        <v>0.20930232558139536</v>
      </c>
      <c r="V31" s="62" t="s">
        <v>1130</v>
      </c>
      <c r="W31" s="62" t="s">
        <v>1119</v>
      </c>
      <c r="X31" s="62" t="s">
        <v>1120</v>
      </c>
      <c r="Y31" s="342">
        <f>(9+12)/43</f>
        <v>0.48837209302325579</v>
      </c>
      <c r="Z31" s="342" t="s">
        <v>1403</v>
      </c>
      <c r="AA31" s="341" t="s">
        <v>1404</v>
      </c>
      <c r="AB31" s="342" t="s">
        <v>684</v>
      </c>
      <c r="AC31" s="62"/>
      <c r="AD31" s="62"/>
      <c r="AE31" s="62"/>
      <c r="AF31" s="62"/>
    </row>
    <row r="32" spans="1:33" ht="409.5">
      <c r="A32" s="584"/>
      <c r="B32" s="565"/>
      <c r="C32" s="601"/>
      <c r="D32" s="595"/>
      <c r="E32" s="610"/>
      <c r="F32" s="601"/>
      <c r="G32" s="604"/>
      <c r="H32" s="102" t="s">
        <v>202</v>
      </c>
      <c r="I32" s="133" t="s">
        <v>1131</v>
      </c>
      <c r="J32" s="564"/>
      <c r="K32" s="560"/>
      <c r="L32" s="607"/>
      <c r="M32" s="607"/>
      <c r="N32" s="563"/>
      <c r="O32" s="563"/>
      <c r="P32" s="563"/>
      <c r="Q32" s="563"/>
      <c r="R32" s="547"/>
      <c r="S32" s="62" t="s">
        <v>658</v>
      </c>
      <c r="T32" s="62" t="s">
        <v>659</v>
      </c>
      <c r="U32" s="130">
        <f>7/12</f>
        <v>0.58333333333333337</v>
      </c>
      <c r="V32" s="62" t="s">
        <v>1132</v>
      </c>
      <c r="W32" s="62" t="s">
        <v>1121</v>
      </c>
      <c r="X32" s="62" t="s">
        <v>1122</v>
      </c>
      <c r="Y32" s="342">
        <f>(7+4+4)/12</f>
        <v>1.25</v>
      </c>
      <c r="Z32" s="342" t="s">
        <v>1405</v>
      </c>
      <c r="AA32" s="341" t="s">
        <v>1406</v>
      </c>
      <c r="AB32" s="342" t="s">
        <v>1407</v>
      </c>
      <c r="AC32" s="62"/>
      <c r="AD32" s="62"/>
      <c r="AE32" s="62"/>
      <c r="AF32" s="62"/>
    </row>
    <row r="33" spans="1:32" ht="409.5">
      <c r="A33" s="584"/>
      <c r="B33" s="565" t="s">
        <v>195</v>
      </c>
      <c r="C33" s="103" t="s">
        <v>464</v>
      </c>
      <c r="D33" s="595"/>
      <c r="E33" s="81" t="s">
        <v>95</v>
      </c>
      <c r="F33" s="104">
        <v>1</v>
      </c>
      <c r="G33" s="105" t="s">
        <v>462</v>
      </c>
      <c r="H33" s="105" t="s">
        <v>462</v>
      </c>
      <c r="I33" s="105" t="s">
        <v>810</v>
      </c>
      <c r="J33" s="564" t="s">
        <v>151</v>
      </c>
      <c r="K33" s="77" t="s">
        <v>312</v>
      </c>
      <c r="L33" s="106">
        <v>43192</v>
      </c>
      <c r="M33" s="99">
        <v>43465</v>
      </c>
      <c r="N33" s="89">
        <v>0</v>
      </c>
      <c r="O33" s="89">
        <v>0.25</v>
      </c>
      <c r="P33" s="89">
        <v>0.5</v>
      </c>
      <c r="Q33" s="89">
        <v>1</v>
      </c>
      <c r="R33" s="62">
        <v>0</v>
      </c>
      <c r="S33" s="62" t="s">
        <v>660</v>
      </c>
      <c r="T33" s="62" t="s">
        <v>420</v>
      </c>
      <c r="U33" s="130">
        <f>5/20</f>
        <v>0.25</v>
      </c>
      <c r="V33" s="62" t="s">
        <v>1133</v>
      </c>
      <c r="W33" s="62" t="s">
        <v>1123</v>
      </c>
      <c r="X33" s="62" t="s">
        <v>1124</v>
      </c>
      <c r="Y33" s="342">
        <f>11/20</f>
        <v>0.55000000000000004</v>
      </c>
      <c r="Z33" s="342" t="s">
        <v>1408</v>
      </c>
      <c r="AA33" s="341" t="s">
        <v>1409</v>
      </c>
      <c r="AB33" s="342" t="s">
        <v>1410</v>
      </c>
      <c r="AC33" s="62"/>
      <c r="AD33" s="62"/>
      <c r="AE33" s="62"/>
      <c r="AF33" s="62"/>
    </row>
    <row r="34" spans="1:32" ht="409.5">
      <c r="A34" s="584"/>
      <c r="B34" s="565"/>
      <c r="C34" s="107" t="s">
        <v>465</v>
      </c>
      <c r="D34" s="596"/>
      <c r="E34" s="81" t="s">
        <v>95</v>
      </c>
      <c r="F34" s="104">
        <v>1</v>
      </c>
      <c r="G34" s="105" t="s">
        <v>463</v>
      </c>
      <c r="H34" s="105" t="s">
        <v>463</v>
      </c>
      <c r="I34" s="105" t="s">
        <v>811</v>
      </c>
      <c r="J34" s="564"/>
      <c r="K34" s="77" t="s">
        <v>312</v>
      </c>
      <c r="L34" s="106">
        <v>43192</v>
      </c>
      <c r="M34" s="99">
        <v>43465</v>
      </c>
      <c r="N34" s="89">
        <v>0</v>
      </c>
      <c r="O34" s="89">
        <v>0.25</v>
      </c>
      <c r="P34" s="89">
        <v>0.5</v>
      </c>
      <c r="Q34" s="89">
        <v>1</v>
      </c>
      <c r="R34" s="62">
        <v>0</v>
      </c>
      <c r="S34" s="62" t="s">
        <v>661</v>
      </c>
      <c r="T34" s="62" t="s">
        <v>662</v>
      </c>
      <c r="U34" s="130">
        <f>6/22</f>
        <v>0.27272727272727271</v>
      </c>
      <c r="V34" s="62" t="s">
        <v>1134</v>
      </c>
      <c r="W34" s="62" t="s">
        <v>1125</v>
      </c>
      <c r="X34" s="62" t="s">
        <v>1126</v>
      </c>
      <c r="Y34" s="342">
        <f>11/22</f>
        <v>0.5</v>
      </c>
      <c r="Z34" s="342" t="s">
        <v>1411</v>
      </c>
      <c r="AA34" s="341" t="s">
        <v>1412</v>
      </c>
      <c r="AB34" s="342" t="s">
        <v>1413</v>
      </c>
      <c r="AC34" s="62"/>
      <c r="AD34" s="62"/>
      <c r="AE34" s="62"/>
      <c r="AF34" s="62"/>
    </row>
    <row r="35" spans="1:32" ht="15">
      <c r="A35" s="108"/>
      <c r="B35" s="108"/>
      <c r="C35" s="108"/>
      <c r="D35" s="108"/>
      <c r="E35" s="108"/>
      <c r="F35" s="108"/>
      <c r="G35" s="108"/>
      <c r="H35" s="108"/>
      <c r="I35" s="108"/>
      <c r="J35" s="108"/>
      <c r="K35" s="108"/>
      <c r="L35" s="108"/>
      <c r="M35" s="108"/>
      <c r="N35" s="108"/>
      <c r="O35" s="108"/>
      <c r="P35" s="108"/>
      <c r="Q35" s="108"/>
      <c r="R35" s="74"/>
    </row>
    <row r="36" spans="1:32" ht="15">
      <c r="A36" s="108"/>
      <c r="B36" s="108"/>
      <c r="C36" s="108"/>
      <c r="D36" s="108"/>
      <c r="E36" s="108"/>
      <c r="F36" s="108"/>
      <c r="G36" s="108"/>
      <c r="H36" s="108"/>
      <c r="I36" s="108"/>
      <c r="J36" s="108"/>
      <c r="K36" s="108"/>
      <c r="L36" s="108"/>
      <c r="M36" s="108"/>
      <c r="N36" s="108"/>
      <c r="O36" s="108"/>
      <c r="P36" s="108"/>
      <c r="Q36" s="108"/>
    </row>
    <row r="37" spans="1:32" ht="15">
      <c r="A37" s="108"/>
      <c r="B37" s="108"/>
      <c r="C37" s="108"/>
      <c r="D37" s="108"/>
      <c r="E37" s="108"/>
      <c r="F37" s="108"/>
      <c r="G37" s="108"/>
      <c r="H37" s="108"/>
      <c r="I37" s="108"/>
      <c r="J37" s="108"/>
      <c r="K37" s="108"/>
      <c r="L37" s="108"/>
      <c r="M37" s="108"/>
      <c r="N37" s="108"/>
      <c r="O37" s="108"/>
      <c r="P37" s="108"/>
      <c r="Q37" s="108"/>
    </row>
    <row r="38" spans="1:32" ht="15">
      <c r="A38" s="108"/>
      <c r="B38" s="108"/>
      <c r="C38" s="108"/>
      <c r="D38" s="108"/>
      <c r="E38" s="108"/>
      <c r="F38" s="108"/>
      <c r="G38" s="108"/>
      <c r="H38" s="108"/>
      <c r="I38" s="108"/>
      <c r="J38" s="108"/>
      <c r="K38" s="108"/>
      <c r="L38" s="108"/>
      <c r="M38" s="108"/>
      <c r="N38" s="108"/>
      <c r="O38" s="108"/>
      <c r="P38" s="108"/>
      <c r="Q38" s="108"/>
    </row>
    <row r="39" spans="1:32" ht="15">
      <c r="A39" s="108"/>
      <c r="B39" s="108"/>
      <c r="C39" s="108"/>
      <c r="D39" s="108"/>
      <c r="E39" s="108"/>
      <c r="F39" s="108"/>
      <c r="G39" s="108"/>
      <c r="H39" s="108"/>
      <c r="I39" s="108"/>
      <c r="J39" s="108"/>
      <c r="K39" s="108"/>
      <c r="L39" s="108"/>
      <c r="M39" s="108"/>
      <c r="N39" s="108"/>
      <c r="O39" s="108"/>
      <c r="P39" s="108"/>
      <c r="Q39" s="108"/>
    </row>
    <row r="40" spans="1:32" ht="15">
      <c r="A40" s="108"/>
      <c r="B40" s="108"/>
      <c r="C40" s="108"/>
      <c r="D40" s="108"/>
      <c r="E40" s="108"/>
      <c r="F40" s="108"/>
      <c r="G40" s="108"/>
      <c r="H40" s="108"/>
      <c r="I40" s="108"/>
      <c r="J40" s="108"/>
      <c r="K40" s="108"/>
      <c r="L40" s="108"/>
      <c r="M40" s="108"/>
      <c r="N40" s="108"/>
      <c r="O40" s="108"/>
      <c r="P40" s="108"/>
      <c r="Q40" s="108"/>
    </row>
    <row r="41" spans="1:32" ht="15">
      <c r="A41" s="108"/>
      <c r="B41" s="108"/>
      <c r="C41" s="108"/>
      <c r="D41" s="108"/>
      <c r="E41" s="108"/>
      <c r="F41" s="108"/>
      <c r="G41" s="108"/>
      <c r="H41" s="108"/>
      <c r="I41" s="108"/>
      <c r="J41" s="108"/>
      <c r="K41" s="108"/>
      <c r="L41" s="108"/>
      <c r="M41" s="108"/>
      <c r="N41" s="108"/>
      <c r="O41" s="108"/>
      <c r="P41" s="108"/>
      <c r="Q41" s="108"/>
    </row>
    <row r="42" spans="1:32" ht="15">
      <c r="A42" s="108"/>
      <c r="B42" s="108"/>
      <c r="C42" s="108"/>
      <c r="D42" s="108"/>
      <c r="E42" s="108"/>
      <c r="F42" s="108"/>
      <c r="G42" s="108"/>
      <c r="H42" s="108"/>
      <c r="I42" s="108"/>
      <c r="J42" s="108"/>
      <c r="K42" s="108"/>
      <c r="L42" s="108"/>
      <c r="M42" s="108"/>
      <c r="N42" s="108"/>
      <c r="O42" s="108"/>
      <c r="P42" s="108"/>
      <c r="Q42" s="108"/>
    </row>
    <row r="43" spans="1:32" ht="15">
      <c r="A43" s="108"/>
      <c r="B43" s="108"/>
      <c r="C43" s="108"/>
      <c r="D43" s="108"/>
      <c r="E43" s="108"/>
      <c r="F43" s="108"/>
      <c r="G43" s="108"/>
      <c r="H43" s="108"/>
      <c r="I43" s="108"/>
      <c r="J43" s="108"/>
      <c r="K43" s="108"/>
      <c r="L43" s="108"/>
      <c r="M43" s="108"/>
      <c r="N43" s="108"/>
      <c r="O43" s="108"/>
      <c r="P43" s="108"/>
      <c r="Q43" s="108"/>
    </row>
    <row r="44" spans="1:32" ht="15">
      <c r="A44" s="108"/>
      <c r="B44" s="108"/>
      <c r="C44" s="108"/>
      <c r="D44" s="108"/>
      <c r="E44" s="108"/>
      <c r="F44" s="108"/>
      <c r="G44" s="108"/>
      <c r="H44" s="108"/>
      <c r="I44" s="108"/>
      <c r="J44" s="108"/>
      <c r="K44" s="108"/>
      <c r="L44" s="108"/>
      <c r="M44" s="108"/>
      <c r="N44" s="108"/>
      <c r="O44" s="108"/>
      <c r="P44" s="108"/>
      <c r="Q44" s="108"/>
    </row>
    <row r="45" spans="1:32" ht="15">
      <c r="A45" s="108"/>
      <c r="B45" s="108"/>
      <c r="C45" s="108"/>
      <c r="D45" s="108"/>
      <c r="E45" s="108"/>
      <c r="F45" s="108"/>
      <c r="G45" s="108"/>
      <c r="H45" s="108"/>
      <c r="I45" s="108"/>
      <c r="J45" s="108"/>
      <c r="K45" s="108"/>
      <c r="L45" s="108"/>
      <c r="M45" s="108"/>
      <c r="N45" s="108"/>
      <c r="O45" s="108"/>
      <c r="P45" s="108"/>
      <c r="Q45" s="108"/>
    </row>
    <row r="46" spans="1:32" ht="15">
      <c r="A46" s="108"/>
      <c r="B46" s="108"/>
      <c r="C46" s="108"/>
      <c r="D46" s="108"/>
      <c r="E46" s="108"/>
      <c r="F46" s="108"/>
      <c r="G46" s="108"/>
      <c r="H46" s="108"/>
      <c r="I46" s="108"/>
      <c r="J46" s="108"/>
      <c r="K46" s="108"/>
      <c r="L46" s="108"/>
      <c r="M46" s="108"/>
      <c r="N46" s="108"/>
      <c r="O46" s="108"/>
      <c r="P46" s="108"/>
      <c r="Q46" s="108"/>
    </row>
    <row r="47" spans="1:32" ht="15">
      <c r="A47" s="108"/>
      <c r="B47" s="108"/>
      <c r="C47" s="108"/>
      <c r="D47" s="108"/>
      <c r="E47" s="108"/>
      <c r="F47" s="108"/>
      <c r="G47" s="108"/>
      <c r="H47" s="108"/>
      <c r="I47" s="108"/>
      <c r="J47" s="108"/>
      <c r="K47" s="108"/>
      <c r="L47" s="108"/>
      <c r="M47" s="108"/>
      <c r="N47" s="108"/>
      <c r="O47" s="108"/>
      <c r="P47" s="108"/>
      <c r="Q47" s="108"/>
    </row>
    <row r="48" spans="1:32" ht="15">
      <c r="A48" s="108"/>
      <c r="B48" s="108"/>
      <c r="C48" s="108"/>
      <c r="D48" s="108"/>
      <c r="E48" s="108"/>
      <c r="F48" s="108"/>
      <c r="G48" s="108"/>
      <c r="H48" s="108"/>
      <c r="I48" s="108"/>
      <c r="J48" s="108"/>
      <c r="K48" s="108"/>
      <c r="L48" s="108"/>
      <c r="M48" s="108"/>
      <c r="N48" s="108"/>
      <c r="O48" s="108"/>
      <c r="P48" s="108"/>
      <c r="Q48" s="108"/>
    </row>
    <row r="49" spans="1:17" ht="15">
      <c r="A49" s="108"/>
      <c r="B49" s="108"/>
      <c r="C49" s="108"/>
      <c r="D49" s="108"/>
      <c r="E49" s="108"/>
      <c r="F49" s="108"/>
      <c r="G49" s="108"/>
      <c r="H49" s="108"/>
      <c r="I49" s="108"/>
      <c r="J49" s="108"/>
      <c r="K49" s="108"/>
      <c r="L49" s="108"/>
      <c r="M49" s="108"/>
      <c r="N49" s="108"/>
      <c r="O49" s="108"/>
      <c r="P49" s="108"/>
      <c r="Q49" s="108"/>
    </row>
    <row r="50" spans="1:17" ht="15">
      <c r="A50" s="108"/>
      <c r="B50" s="108"/>
      <c r="C50" s="108"/>
      <c r="D50" s="108"/>
      <c r="E50" s="108"/>
      <c r="F50" s="108"/>
      <c r="G50" s="108"/>
      <c r="H50" s="108"/>
      <c r="I50" s="108"/>
      <c r="J50" s="108"/>
      <c r="K50" s="108"/>
      <c r="L50" s="108"/>
      <c r="M50" s="108"/>
      <c r="N50" s="108"/>
      <c r="O50" s="108"/>
      <c r="P50" s="108"/>
      <c r="Q50" s="108"/>
    </row>
    <row r="51" spans="1:17" ht="15">
      <c r="A51" s="108"/>
      <c r="B51" s="108"/>
      <c r="C51" s="108"/>
      <c r="D51" s="108"/>
      <c r="E51" s="108"/>
      <c r="F51" s="108"/>
      <c r="G51" s="108"/>
      <c r="H51" s="108"/>
      <c r="I51" s="108"/>
      <c r="J51" s="108"/>
      <c r="K51" s="108"/>
      <c r="L51" s="108"/>
      <c r="M51" s="108"/>
      <c r="N51" s="108"/>
      <c r="O51" s="108"/>
      <c r="P51" s="108"/>
      <c r="Q51" s="108"/>
    </row>
    <row r="52" spans="1:17" ht="15">
      <c r="A52" s="108"/>
      <c r="B52" s="108"/>
      <c r="C52" s="108"/>
      <c r="D52" s="108"/>
      <c r="E52" s="108"/>
      <c r="F52" s="108"/>
      <c r="G52" s="108"/>
      <c r="H52" s="108"/>
      <c r="I52" s="108"/>
      <c r="J52" s="108"/>
      <c r="K52" s="108"/>
      <c r="L52" s="108"/>
      <c r="M52" s="108"/>
      <c r="N52" s="108"/>
      <c r="O52" s="108"/>
      <c r="P52" s="108"/>
      <c r="Q52" s="108"/>
    </row>
    <row r="53" spans="1:17" ht="15">
      <c r="A53" s="108"/>
      <c r="B53" s="108"/>
      <c r="C53" s="108"/>
      <c r="D53" s="108"/>
      <c r="E53" s="108"/>
      <c r="F53" s="108"/>
      <c r="G53" s="108"/>
      <c r="H53" s="108"/>
      <c r="I53" s="108"/>
      <c r="J53" s="108"/>
      <c r="K53" s="108"/>
      <c r="L53" s="108"/>
      <c r="M53" s="108"/>
      <c r="N53" s="108"/>
      <c r="O53" s="108"/>
      <c r="P53" s="108"/>
      <c r="Q53" s="108"/>
    </row>
    <row r="54" spans="1:17" ht="15">
      <c r="A54" s="108"/>
      <c r="B54" s="108"/>
      <c r="C54" s="108"/>
      <c r="D54" s="108"/>
      <c r="E54" s="108"/>
      <c r="F54" s="108"/>
      <c r="G54" s="108"/>
      <c r="H54" s="108"/>
      <c r="I54" s="108"/>
      <c r="J54" s="108"/>
      <c r="K54" s="108"/>
      <c r="L54" s="108"/>
      <c r="M54" s="108"/>
      <c r="N54" s="108"/>
      <c r="O54" s="108"/>
      <c r="P54" s="108"/>
      <c r="Q54" s="108"/>
    </row>
    <row r="55" spans="1:17" ht="15">
      <c r="A55" s="108"/>
      <c r="B55" s="108"/>
      <c r="C55" s="108"/>
      <c r="D55" s="108"/>
      <c r="E55" s="108"/>
      <c r="F55" s="108"/>
      <c r="G55" s="108"/>
      <c r="H55" s="108"/>
      <c r="I55" s="108"/>
      <c r="J55" s="108"/>
      <c r="K55" s="108"/>
      <c r="L55" s="108"/>
      <c r="M55" s="108"/>
      <c r="N55" s="108"/>
      <c r="O55" s="108"/>
      <c r="P55" s="108"/>
      <c r="Q55" s="108"/>
    </row>
    <row r="56" spans="1:17" ht="15">
      <c r="A56" s="108"/>
      <c r="B56" s="108"/>
      <c r="C56" s="108"/>
      <c r="D56" s="108"/>
      <c r="E56" s="108"/>
      <c r="F56" s="108"/>
      <c r="G56" s="108"/>
      <c r="H56" s="108"/>
      <c r="I56" s="108"/>
      <c r="J56" s="108"/>
      <c r="K56" s="108"/>
      <c r="L56" s="108"/>
      <c r="M56" s="108"/>
      <c r="N56" s="108"/>
      <c r="O56" s="108"/>
      <c r="P56" s="108"/>
      <c r="Q56" s="108"/>
    </row>
    <row r="57" spans="1:17" ht="15">
      <c r="A57" s="108"/>
      <c r="B57" s="108"/>
      <c r="C57" s="108"/>
      <c r="D57" s="108"/>
      <c r="E57" s="108"/>
      <c r="F57" s="108"/>
      <c r="G57" s="108"/>
      <c r="H57" s="108"/>
      <c r="I57" s="108"/>
      <c r="J57" s="108"/>
      <c r="K57" s="108"/>
      <c r="L57" s="108"/>
      <c r="M57" s="108"/>
      <c r="N57" s="108"/>
      <c r="O57" s="108"/>
      <c r="P57" s="108"/>
      <c r="Q57" s="108"/>
    </row>
    <row r="58" spans="1:17" ht="15">
      <c r="A58" s="108"/>
      <c r="B58" s="108"/>
      <c r="C58" s="108"/>
      <c r="D58" s="108"/>
      <c r="E58" s="108"/>
      <c r="F58" s="108"/>
      <c r="G58" s="108"/>
      <c r="H58" s="108"/>
      <c r="I58" s="108"/>
      <c r="J58" s="108"/>
      <c r="K58" s="108"/>
      <c r="L58" s="108"/>
      <c r="M58" s="108"/>
      <c r="N58" s="108"/>
      <c r="O58" s="108"/>
      <c r="P58" s="108"/>
      <c r="Q58" s="108"/>
    </row>
    <row r="59" spans="1:17" ht="15">
      <c r="A59" s="108"/>
      <c r="B59" s="108"/>
      <c r="C59" s="108"/>
      <c r="D59" s="108"/>
      <c r="E59" s="108"/>
      <c r="F59" s="108"/>
      <c r="G59" s="108"/>
      <c r="H59" s="108"/>
      <c r="I59" s="108"/>
      <c r="J59" s="108"/>
      <c r="K59" s="108"/>
      <c r="L59" s="108"/>
      <c r="M59" s="108"/>
      <c r="N59" s="108"/>
      <c r="O59" s="108"/>
      <c r="P59" s="108"/>
      <c r="Q59" s="108"/>
    </row>
    <row r="60" spans="1:17" ht="15">
      <c r="A60" s="108"/>
      <c r="B60" s="108"/>
      <c r="C60" s="108"/>
      <c r="D60" s="108"/>
      <c r="E60" s="108"/>
      <c r="F60" s="108"/>
      <c r="G60" s="108"/>
      <c r="H60" s="108"/>
      <c r="I60" s="108"/>
      <c r="J60" s="108"/>
      <c r="K60" s="108"/>
      <c r="L60" s="108"/>
      <c r="M60" s="108"/>
      <c r="N60" s="108"/>
      <c r="O60" s="108"/>
      <c r="P60" s="108"/>
      <c r="Q60" s="108"/>
    </row>
    <row r="61" spans="1:17" ht="15">
      <c r="A61" s="108"/>
      <c r="B61" s="108"/>
      <c r="C61" s="108"/>
      <c r="D61" s="108"/>
      <c r="E61" s="108"/>
      <c r="F61" s="108"/>
      <c r="G61" s="108"/>
      <c r="H61" s="108"/>
      <c r="I61" s="108"/>
      <c r="J61" s="108"/>
      <c r="K61" s="108"/>
      <c r="L61" s="108"/>
      <c r="M61" s="108"/>
      <c r="N61" s="108"/>
      <c r="O61" s="108"/>
      <c r="P61" s="108"/>
      <c r="Q61" s="108"/>
    </row>
    <row r="62" spans="1:17" ht="15">
      <c r="A62" s="108"/>
      <c r="B62" s="108"/>
      <c r="C62" s="108"/>
      <c r="D62" s="108"/>
      <c r="E62" s="108"/>
      <c r="F62" s="108"/>
      <c r="G62" s="108"/>
      <c r="H62" s="108"/>
      <c r="I62" s="108"/>
      <c r="J62" s="108"/>
      <c r="K62" s="108"/>
      <c r="L62" s="108"/>
      <c r="M62" s="108"/>
      <c r="N62" s="108"/>
      <c r="O62" s="108"/>
      <c r="P62" s="108"/>
      <c r="Q62" s="108"/>
    </row>
    <row r="63" spans="1:17" ht="15">
      <c r="A63" s="108"/>
      <c r="B63" s="108"/>
      <c r="C63" s="108"/>
      <c r="D63" s="108"/>
      <c r="E63" s="108"/>
      <c r="F63" s="108"/>
      <c r="G63" s="108"/>
      <c r="H63" s="108"/>
      <c r="I63" s="108"/>
      <c r="J63" s="108"/>
      <c r="K63" s="108"/>
      <c r="L63" s="108"/>
      <c r="M63" s="108"/>
      <c r="N63" s="108"/>
      <c r="O63" s="108"/>
      <c r="P63" s="108"/>
      <c r="Q63" s="108"/>
    </row>
    <row r="64" spans="1:17" ht="15">
      <c r="A64" s="108"/>
      <c r="B64" s="108"/>
      <c r="C64" s="108"/>
      <c r="D64" s="108"/>
      <c r="E64" s="108"/>
      <c r="F64" s="108"/>
      <c r="G64" s="108"/>
      <c r="H64" s="108"/>
      <c r="I64" s="108"/>
      <c r="J64" s="108"/>
      <c r="K64" s="108"/>
      <c r="L64" s="108"/>
      <c r="M64" s="108"/>
      <c r="N64" s="108"/>
      <c r="O64" s="108"/>
      <c r="P64" s="108"/>
      <c r="Q64" s="108"/>
    </row>
    <row r="65" spans="1:17" ht="15">
      <c r="A65" s="108"/>
      <c r="B65" s="108"/>
      <c r="C65" s="108"/>
      <c r="D65" s="108"/>
      <c r="E65" s="108"/>
      <c r="F65" s="108"/>
      <c r="G65" s="108"/>
      <c r="H65" s="108"/>
      <c r="I65" s="108"/>
      <c r="J65" s="108"/>
      <c r="K65" s="108"/>
      <c r="L65" s="108"/>
      <c r="M65" s="108"/>
      <c r="N65" s="108"/>
      <c r="O65" s="108"/>
      <c r="P65" s="108"/>
      <c r="Q65" s="108"/>
    </row>
    <row r="66" spans="1:17" ht="15">
      <c r="A66" s="108"/>
      <c r="B66" s="108"/>
      <c r="C66" s="108"/>
      <c r="D66" s="108"/>
      <c r="E66" s="108"/>
      <c r="F66" s="108"/>
      <c r="G66" s="108"/>
      <c r="H66" s="108"/>
      <c r="I66" s="108"/>
      <c r="J66" s="108"/>
      <c r="K66" s="108"/>
      <c r="L66" s="108"/>
      <c r="M66" s="108"/>
      <c r="N66" s="108"/>
      <c r="O66" s="108"/>
      <c r="P66" s="108"/>
      <c r="Q66" s="108"/>
    </row>
    <row r="67" spans="1:17" ht="15">
      <c r="A67" s="108"/>
      <c r="B67" s="108"/>
      <c r="C67" s="108"/>
      <c r="D67" s="108"/>
      <c r="E67" s="108"/>
      <c r="F67" s="108"/>
      <c r="G67" s="108"/>
      <c r="H67" s="108"/>
      <c r="I67" s="108"/>
      <c r="J67" s="108"/>
      <c r="K67" s="108"/>
      <c r="L67" s="108"/>
      <c r="M67" s="108"/>
      <c r="N67" s="108"/>
      <c r="O67" s="108"/>
      <c r="P67" s="108"/>
      <c r="Q67" s="108"/>
    </row>
    <row r="68" spans="1:17" ht="15">
      <c r="A68" s="108"/>
      <c r="B68" s="108"/>
      <c r="C68" s="108"/>
      <c r="D68" s="108"/>
      <c r="E68" s="108"/>
      <c r="F68" s="108"/>
      <c r="G68" s="108"/>
      <c r="H68" s="108"/>
      <c r="I68" s="108"/>
      <c r="J68" s="108"/>
      <c r="K68" s="108"/>
      <c r="L68" s="108"/>
      <c r="M68" s="108"/>
      <c r="N68" s="108"/>
      <c r="O68" s="108"/>
      <c r="P68" s="108"/>
      <c r="Q68" s="108"/>
    </row>
    <row r="69" spans="1:17" ht="15">
      <c r="A69" s="108"/>
      <c r="B69" s="108"/>
      <c r="C69" s="108"/>
      <c r="D69" s="108"/>
      <c r="E69" s="108"/>
      <c r="F69" s="108"/>
      <c r="G69" s="108"/>
      <c r="H69" s="108"/>
      <c r="I69" s="108"/>
      <c r="J69" s="108"/>
      <c r="K69" s="108"/>
      <c r="L69" s="108"/>
      <c r="M69" s="108"/>
      <c r="N69" s="108"/>
      <c r="O69" s="108"/>
      <c r="P69" s="108"/>
      <c r="Q69" s="108"/>
    </row>
    <row r="70" spans="1:17" ht="15">
      <c r="A70" s="108"/>
      <c r="B70" s="108"/>
      <c r="C70" s="108"/>
      <c r="D70" s="108"/>
      <c r="E70" s="108"/>
      <c r="F70" s="108"/>
      <c r="G70" s="108"/>
      <c r="H70" s="108"/>
      <c r="I70" s="108"/>
      <c r="J70" s="108"/>
      <c r="K70" s="108"/>
      <c r="L70" s="108"/>
      <c r="M70" s="108"/>
      <c r="N70" s="108"/>
      <c r="O70" s="108"/>
      <c r="P70" s="108"/>
      <c r="Q70" s="108"/>
    </row>
    <row r="71" spans="1:17" ht="15">
      <c r="A71" s="108"/>
      <c r="B71" s="108"/>
      <c r="C71" s="108"/>
      <c r="D71" s="108"/>
      <c r="E71" s="108"/>
      <c r="F71" s="108"/>
      <c r="G71" s="108"/>
      <c r="H71" s="108"/>
      <c r="I71" s="108"/>
      <c r="J71" s="108"/>
      <c r="K71" s="108"/>
      <c r="L71" s="108"/>
      <c r="M71" s="108"/>
      <c r="N71" s="108"/>
      <c r="O71" s="108"/>
      <c r="P71" s="108"/>
      <c r="Q71" s="108"/>
    </row>
    <row r="72" spans="1:17" ht="15">
      <c r="A72" s="108"/>
      <c r="B72" s="108"/>
      <c r="C72" s="108"/>
      <c r="D72" s="108"/>
      <c r="E72" s="108"/>
      <c r="F72" s="108"/>
      <c r="G72" s="108"/>
      <c r="H72" s="108"/>
      <c r="I72" s="108"/>
      <c r="J72" s="108"/>
      <c r="K72" s="108"/>
      <c r="L72" s="108"/>
      <c r="M72" s="108"/>
      <c r="N72" s="108"/>
      <c r="O72" s="108"/>
      <c r="P72" s="108"/>
      <c r="Q72" s="108"/>
    </row>
    <row r="73" spans="1:17" ht="15">
      <c r="A73" s="108"/>
      <c r="B73" s="108"/>
      <c r="C73" s="108"/>
      <c r="D73" s="108"/>
      <c r="E73" s="108"/>
      <c r="F73" s="108"/>
      <c r="G73" s="108"/>
      <c r="H73" s="108"/>
      <c r="I73" s="108"/>
      <c r="J73" s="108"/>
      <c r="K73" s="108"/>
      <c r="L73" s="108"/>
      <c r="M73" s="108"/>
      <c r="N73" s="108"/>
      <c r="O73" s="108"/>
      <c r="P73" s="108"/>
      <c r="Q73" s="108"/>
    </row>
    <row r="74" spans="1:17" ht="15">
      <c r="A74" s="108"/>
      <c r="B74" s="108"/>
      <c r="C74" s="108"/>
      <c r="D74" s="108"/>
      <c r="E74" s="108"/>
      <c r="F74" s="108"/>
      <c r="G74" s="108"/>
      <c r="H74" s="108"/>
      <c r="I74" s="108"/>
      <c r="J74" s="108"/>
      <c r="K74" s="108"/>
      <c r="L74" s="108"/>
      <c r="M74" s="108"/>
      <c r="N74" s="108"/>
      <c r="O74" s="108"/>
      <c r="P74" s="108"/>
      <c r="Q74" s="108"/>
    </row>
    <row r="75" spans="1:17" ht="15">
      <c r="A75" s="108"/>
      <c r="B75" s="108"/>
      <c r="C75" s="108"/>
      <c r="D75" s="108"/>
      <c r="E75" s="108"/>
      <c r="F75" s="108"/>
      <c r="G75" s="108"/>
      <c r="H75" s="108"/>
      <c r="I75" s="108"/>
      <c r="J75" s="108"/>
      <c r="K75" s="108"/>
      <c r="L75" s="108"/>
      <c r="M75" s="108"/>
      <c r="N75" s="108"/>
      <c r="O75" s="108"/>
      <c r="P75" s="108"/>
      <c r="Q75" s="108"/>
    </row>
    <row r="76" spans="1:17" ht="15">
      <c r="A76" s="108"/>
      <c r="B76" s="108"/>
      <c r="C76" s="108"/>
      <c r="D76" s="108"/>
      <c r="E76" s="108"/>
      <c r="F76" s="108"/>
      <c r="G76" s="108"/>
      <c r="H76" s="108"/>
      <c r="I76" s="108"/>
      <c r="J76" s="108"/>
      <c r="K76" s="108"/>
      <c r="L76" s="108"/>
      <c r="M76" s="108"/>
      <c r="N76" s="108"/>
      <c r="O76" s="108"/>
      <c r="P76" s="108"/>
      <c r="Q76" s="108"/>
    </row>
    <row r="77" spans="1:17" ht="15">
      <c r="A77" s="108"/>
      <c r="B77" s="108"/>
      <c r="C77" s="108"/>
      <c r="D77" s="108"/>
      <c r="E77" s="108"/>
      <c r="F77" s="108"/>
      <c r="G77" s="108"/>
      <c r="H77" s="108"/>
      <c r="I77" s="108"/>
      <c r="J77" s="108"/>
      <c r="K77" s="108"/>
      <c r="L77" s="108"/>
      <c r="M77" s="108"/>
      <c r="N77" s="108"/>
      <c r="O77" s="108"/>
      <c r="P77" s="108"/>
      <c r="Q77" s="108"/>
    </row>
    <row r="78" spans="1:17" ht="15">
      <c r="A78" s="108"/>
      <c r="B78" s="108"/>
      <c r="C78" s="108"/>
      <c r="D78" s="108"/>
      <c r="E78" s="108"/>
      <c r="F78" s="108"/>
      <c r="G78" s="108"/>
      <c r="H78" s="108"/>
      <c r="I78" s="108"/>
      <c r="J78" s="108"/>
      <c r="K78" s="108"/>
      <c r="L78" s="108"/>
      <c r="M78" s="108"/>
      <c r="N78" s="108"/>
      <c r="O78" s="108"/>
      <c r="P78" s="108"/>
      <c r="Q78" s="108"/>
    </row>
    <row r="79" spans="1:17" ht="15">
      <c r="A79" s="108"/>
      <c r="B79" s="108"/>
      <c r="C79" s="108"/>
      <c r="D79" s="108"/>
      <c r="E79" s="108"/>
      <c r="F79" s="108"/>
      <c r="G79" s="108"/>
      <c r="H79" s="108"/>
      <c r="I79" s="108"/>
      <c r="J79" s="108"/>
      <c r="K79" s="108"/>
      <c r="L79" s="108"/>
      <c r="M79" s="108"/>
      <c r="N79" s="108"/>
      <c r="O79" s="108"/>
      <c r="P79" s="108"/>
      <c r="Q79" s="108"/>
    </row>
    <row r="80" spans="1:17" ht="15">
      <c r="A80" s="108"/>
      <c r="B80" s="108"/>
      <c r="C80" s="108"/>
      <c r="D80" s="108"/>
      <c r="E80" s="108"/>
      <c r="F80" s="108"/>
      <c r="G80" s="108"/>
      <c r="H80" s="108"/>
      <c r="I80" s="108"/>
      <c r="J80" s="108"/>
      <c r="K80" s="108"/>
      <c r="L80" s="108"/>
      <c r="M80" s="108"/>
      <c r="N80" s="108"/>
      <c r="O80" s="108"/>
      <c r="P80" s="108"/>
      <c r="Q80" s="108"/>
    </row>
    <row r="81" spans="1:17" ht="15">
      <c r="A81" s="108"/>
      <c r="B81" s="108"/>
      <c r="C81" s="108"/>
      <c r="D81" s="108"/>
      <c r="E81" s="108"/>
      <c r="F81" s="108"/>
      <c r="G81" s="108"/>
      <c r="H81" s="108"/>
      <c r="I81" s="108"/>
      <c r="J81" s="108"/>
      <c r="K81" s="108"/>
      <c r="L81" s="108"/>
      <c r="M81" s="108"/>
      <c r="N81" s="108"/>
      <c r="O81" s="108"/>
      <c r="P81" s="108"/>
      <c r="Q81" s="108"/>
    </row>
    <row r="82" spans="1:17" ht="15">
      <c r="A82" s="108"/>
      <c r="B82" s="108"/>
      <c r="C82" s="108"/>
      <c r="D82" s="108"/>
      <c r="E82" s="108"/>
      <c r="F82" s="108"/>
      <c r="G82" s="108"/>
      <c r="H82" s="108"/>
      <c r="I82" s="108"/>
      <c r="J82" s="108"/>
      <c r="K82" s="108"/>
      <c r="L82" s="108"/>
      <c r="M82" s="108"/>
      <c r="N82" s="108"/>
      <c r="O82" s="108"/>
      <c r="P82" s="108"/>
      <c r="Q82" s="108"/>
    </row>
    <row r="83" spans="1:17" ht="15">
      <c r="A83" s="108"/>
      <c r="B83" s="108"/>
      <c r="C83" s="108"/>
      <c r="D83" s="108"/>
      <c r="E83" s="108"/>
      <c r="F83" s="108"/>
      <c r="G83" s="108"/>
      <c r="H83" s="108"/>
      <c r="I83" s="108"/>
      <c r="J83" s="108"/>
      <c r="K83" s="108"/>
      <c r="L83" s="108"/>
      <c r="M83" s="108"/>
      <c r="N83" s="108"/>
      <c r="O83" s="108"/>
      <c r="P83" s="108"/>
      <c r="Q83" s="108"/>
    </row>
    <row r="84" spans="1:17" ht="15">
      <c r="A84" s="108"/>
      <c r="B84" s="108"/>
      <c r="C84" s="108"/>
      <c r="D84" s="108"/>
      <c r="E84" s="108"/>
      <c r="F84" s="108"/>
      <c r="G84" s="108"/>
      <c r="H84" s="108"/>
      <c r="I84" s="108"/>
      <c r="J84" s="108"/>
      <c r="K84" s="108"/>
      <c r="L84" s="108"/>
      <c r="M84" s="108"/>
      <c r="N84" s="108"/>
      <c r="O84" s="108"/>
      <c r="P84" s="108"/>
      <c r="Q84" s="108"/>
    </row>
    <row r="85" spans="1:17" ht="15">
      <c r="A85" s="108"/>
      <c r="B85" s="108"/>
      <c r="C85" s="108"/>
      <c r="D85" s="108"/>
      <c r="E85" s="108"/>
      <c r="F85" s="108"/>
      <c r="G85" s="108"/>
      <c r="H85" s="108"/>
      <c r="I85" s="108"/>
      <c r="J85" s="108"/>
      <c r="K85" s="108"/>
      <c r="L85" s="108"/>
      <c r="M85" s="108"/>
      <c r="N85" s="108"/>
      <c r="O85" s="108"/>
      <c r="P85" s="108"/>
      <c r="Q85" s="108"/>
    </row>
    <row r="86" spans="1:17" ht="15">
      <c r="A86" s="108"/>
      <c r="B86" s="108"/>
      <c r="C86" s="108"/>
      <c r="D86" s="108"/>
      <c r="E86" s="108"/>
      <c r="F86" s="108"/>
      <c r="G86" s="108"/>
      <c r="H86" s="108"/>
      <c r="I86" s="108"/>
      <c r="J86" s="108"/>
      <c r="K86" s="108"/>
      <c r="L86" s="108"/>
      <c r="M86" s="108"/>
      <c r="N86" s="108"/>
      <c r="O86" s="108"/>
      <c r="P86" s="108"/>
      <c r="Q86" s="108"/>
    </row>
    <row r="87" spans="1:17" ht="15">
      <c r="A87" s="108"/>
      <c r="B87" s="108"/>
      <c r="C87" s="108"/>
      <c r="D87" s="108"/>
      <c r="E87" s="108"/>
      <c r="F87" s="108"/>
      <c r="G87" s="108"/>
      <c r="H87" s="108"/>
      <c r="I87" s="108"/>
      <c r="J87" s="108"/>
      <c r="K87" s="108"/>
      <c r="L87" s="108"/>
      <c r="M87" s="108"/>
      <c r="N87" s="108"/>
      <c r="O87" s="108"/>
      <c r="P87" s="108"/>
      <c r="Q87" s="108"/>
    </row>
    <row r="88" spans="1:17" ht="15">
      <c r="A88" s="108"/>
      <c r="B88" s="108"/>
      <c r="C88" s="108"/>
      <c r="D88" s="108"/>
      <c r="E88" s="108"/>
      <c r="F88" s="108"/>
      <c r="G88" s="108"/>
      <c r="H88" s="108"/>
      <c r="I88" s="108"/>
      <c r="J88" s="108"/>
      <c r="K88" s="108"/>
      <c r="L88" s="108"/>
      <c r="M88" s="108"/>
      <c r="N88" s="108"/>
      <c r="O88" s="108"/>
      <c r="P88" s="108"/>
      <c r="Q88" s="108"/>
    </row>
    <row r="89" spans="1:17" ht="15">
      <c r="A89" s="108"/>
      <c r="B89" s="108"/>
      <c r="C89" s="108"/>
      <c r="D89" s="108"/>
      <c r="E89" s="108"/>
      <c r="F89" s="108"/>
      <c r="G89" s="108"/>
      <c r="H89" s="108"/>
      <c r="I89" s="108"/>
      <c r="J89" s="108"/>
      <c r="K89" s="108"/>
      <c r="L89" s="108"/>
      <c r="M89" s="108"/>
      <c r="N89" s="108"/>
      <c r="O89" s="108"/>
      <c r="P89" s="108"/>
      <c r="Q89" s="108"/>
    </row>
  </sheetData>
  <autoFilter ref="A3:AG34">
    <filterColumn colId="15">
      <filters blank="1">
        <filter val="1"/>
        <filter val="100%"/>
        <filter val="30%"/>
        <filter val="40%"/>
        <filter val="50%"/>
        <filter val="75%"/>
      </filters>
    </filterColumn>
  </autoFilter>
  <mergeCells count="94">
    <mergeCell ref="F17:F19"/>
    <mergeCell ref="G17:G19"/>
    <mergeCell ref="H17:H19"/>
    <mergeCell ref="K17:K19"/>
    <mergeCell ref="C17:C19"/>
    <mergeCell ref="D17:D19"/>
    <mergeCell ref="E17:E19"/>
    <mergeCell ref="G20:G21"/>
    <mergeCell ref="I22:I24"/>
    <mergeCell ref="C25:C27"/>
    <mergeCell ref="E22:E24"/>
    <mergeCell ref="F22:F24"/>
    <mergeCell ref="G22:G24"/>
    <mergeCell ref="E25:E27"/>
    <mergeCell ref="F25:F27"/>
    <mergeCell ref="G25:G27"/>
    <mergeCell ref="C22:C24"/>
    <mergeCell ref="I25:I27"/>
    <mergeCell ref="C28:C32"/>
    <mergeCell ref="F28:F32"/>
    <mergeCell ref="G28:G32"/>
    <mergeCell ref="L28:L32"/>
    <mergeCell ref="M28:M32"/>
    <mergeCell ref="J28:J32"/>
    <mergeCell ref="E28:E32"/>
    <mergeCell ref="K28:K32"/>
    <mergeCell ref="A22:A34"/>
    <mergeCell ref="A1:A3"/>
    <mergeCell ref="B1:B3"/>
    <mergeCell ref="C1:C3"/>
    <mergeCell ref="D1:D3"/>
    <mergeCell ref="B22:B27"/>
    <mergeCell ref="B28:B32"/>
    <mergeCell ref="B33:B34"/>
    <mergeCell ref="A4:A21"/>
    <mergeCell ref="B4:B19"/>
    <mergeCell ref="B20:B21"/>
    <mergeCell ref="C13:C15"/>
    <mergeCell ref="D13:D15"/>
    <mergeCell ref="D22:D34"/>
    <mergeCell ref="C9:C10"/>
    <mergeCell ref="D9:D10"/>
    <mergeCell ref="N28:N32"/>
    <mergeCell ref="O28:O32"/>
    <mergeCell ref="J22:J27"/>
    <mergeCell ref="K22:K27"/>
    <mergeCell ref="N1:Q1"/>
    <mergeCell ref="L2:L3"/>
    <mergeCell ref="M2:M3"/>
    <mergeCell ref="L1:M1"/>
    <mergeCell ref="J1:J3"/>
    <mergeCell ref="K1:K3"/>
    <mergeCell ref="L17:L19"/>
    <mergeCell ref="M17:M19"/>
    <mergeCell ref="N17:N19"/>
    <mergeCell ref="O17:O19"/>
    <mergeCell ref="P17:P19"/>
    <mergeCell ref="Q17:Q19"/>
    <mergeCell ref="J33:J34"/>
    <mergeCell ref="E1:E3"/>
    <mergeCell ref="F1:F3"/>
    <mergeCell ref="G1:G3"/>
    <mergeCell ref="G13:G16"/>
    <mergeCell ref="G7:G8"/>
    <mergeCell ref="G9:G10"/>
    <mergeCell ref="J13:J15"/>
    <mergeCell ref="H20:H21"/>
    <mergeCell ref="G4:G6"/>
    <mergeCell ref="H1:H3"/>
    <mergeCell ref="I1:I3"/>
    <mergeCell ref="I5:I6"/>
    <mergeCell ref="I7:I8"/>
    <mergeCell ref="I15:I16"/>
    <mergeCell ref="I13:I14"/>
    <mergeCell ref="R28:R32"/>
    <mergeCell ref="R2:T2"/>
    <mergeCell ref="R13:R16"/>
    <mergeCell ref="P28:P32"/>
    <mergeCell ref="Q28:Q32"/>
    <mergeCell ref="R17:R19"/>
    <mergeCell ref="S17:S19"/>
    <mergeCell ref="T17:T19"/>
    <mergeCell ref="AC2:AF2"/>
    <mergeCell ref="R1:AF1"/>
    <mergeCell ref="U2:X2"/>
    <mergeCell ref="K13:K16"/>
    <mergeCell ref="V15:V16"/>
    <mergeCell ref="V22:V24"/>
    <mergeCell ref="V13:V14"/>
    <mergeCell ref="Y2:AB2"/>
    <mergeCell ref="U4:X4"/>
    <mergeCell ref="V5:V6"/>
    <mergeCell ref="Z13:Z14"/>
    <mergeCell ref="Z22:Z24"/>
  </mergeCells>
  <hyperlinks>
    <hyperlink ref="T4" r:id="rId1"/>
    <hyperlink ref="T6" r:id="rId2"/>
    <hyperlink ref="X18" r:id="rId3"/>
    <hyperlink ref="X19" r:id="rId4"/>
    <hyperlink ref="X20" r:id="rId5"/>
    <hyperlink ref="X11" r:id="rId6" display="\\icfesserv5\planeacion$\2018\GESTION Y DESEMPEÑO\Proy Información\Link de transparencia 2018"/>
    <hyperlink ref="X23" r:id="rId7" display="http://192.168.147.76/soporte/arquitecturaEmpresarial/Entregables AE/2018/02- Gobierno de TI/Estructura Funcional de TI-TO BE.pptx"/>
    <hyperlink ref="X24" r:id="rId8"/>
    <hyperlink ref="X25" r:id="rId9" display="https://docs.google.com/spreadsheets/d/1EFtFMYybcq1Ps9ljSLBvU3Kg--Te4FxoYOXLpv0x9Q8/edit?usp=sharing"/>
    <hyperlink ref="X26" r:id="rId10"/>
    <hyperlink ref="X27" r:id="rId11"/>
    <hyperlink ref="X22" r:id="rId12" display="http://192.168.147.76/soporte/arquitecturaEmpresarial/Entregables AE/2018/01-Estrategia de TI/Cumplimiento de AE.xlsx_x000a_'http://192.168.147.76/soporte/arquitecturaEmpresarial/Entregables AE/2018/01-Estrategia de TI/Indicadores de la Estrategia de TI.xlsx"/>
    <hyperlink ref="AB18" r:id="rId13"/>
    <hyperlink ref="AB19" r:id="rId14"/>
    <hyperlink ref="AB20" r:id="rId15"/>
    <hyperlink ref="AB24" r:id="rId16"/>
    <hyperlink ref="AB25" r:id="rId17" display="https://icfes.pvcloud.com/planview/PRM/ProjectResourceMgmt.aspx?ptab=PRJ_MAIN&amp;pt=PROJECT&amp;sc=9663&amp;scode=9663&amp;popup=1&amp;back=close_x000a_"/>
    <hyperlink ref="AB32" r:id="rId18"/>
    <hyperlink ref="AE11" r:id="rId19" display="\\icfesserv5\planeacion$\2018\GESTION Y DESEMPEÑO\Proy Información\Link de transparencia 2018"/>
    <hyperlink ref="AB11" r:id="rId20" display="\\icfesserv5\planeacion$\2018\GESTION Y DESEMPEÑO\Proy Información\Link de transparencia 2018"/>
  </hyperlinks>
  <pageMargins left="0.7" right="0.7" top="0.75" bottom="0.75" header="0.3" footer="0.3"/>
  <pageSetup orientation="portrait" horizontalDpi="4294967294" verticalDpi="4294967294" r:id="rId21"/>
  <legacyDrawing r:id="rId2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AE11"/>
  <sheetViews>
    <sheetView topLeftCell="K1" zoomScale="60" zoomScaleNormal="60" zoomScalePageLayoutView="55" workbookViewId="0">
      <selection activeCell="Q3" sqref="Q1:AA1048576"/>
    </sheetView>
  </sheetViews>
  <sheetFormatPr baseColWidth="10" defaultColWidth="10.5703125" defaultRowHeight="12.75"/>
  <cols>
    <col min="1" max="1" width="19.42578125" style="72" customWidth="1"/>
    <col min="2" max="2" width="20.42578125" style="72" customWidth="1"/>
    <col min="3" max="3" width="20.5703125" style="72" customWidth="1"/>
    <col min="4" max="4" width="18.42578125" style="72" customWidth="1"/>
    <col min="5" max="5" width="14.42578125" style="72" customWidth="1"/>
    <col min="6" max="6" width="19" style="72" customWidth="1"/>
    <col min="7" max="7" width="41.7109375" style="72" customWidth="1"/>
    <col min="8" max="8" width="29.5703125" style="72" customWidth="1"/>
    <col min="9" max="9" width="21.42578125" style="72" customWidth="1"/>
    <col min="10" max="10" width="25.28515625" style="72" hidden="1" customWidth="1"/>
    <col min="11" max="12" width="15.5703125" style="72" customWidth="1"/>
    <col min="13" max="13" width="18.7109375" style="72" bestFit="1" customWidth="1"/>
    <col min="14" max="14" width="19.42578125" style="72" bestFit="1" customWidth="1"/>
    <col min="15" max="15" width="20.42578125" style="72" bestFit="1" customWidth="1"/>
    <col min="16" max="16" width="20.85546875" style="72" bestFit="1" customWidth="1"/>
    <col min="17" max="17" width="14.28515625" style="63" hidden="1" customWidth="1"/>
    <col min="18" max="19" width="20.7109375" style="63" hidden="1" customWidth="1"/>
    <col min="20" max="20" width="15.28515625" style="72" hidden="1" customWidth="1"/>
    <col min="21" max="21" width="19.85546875" style="72" hidden="1" customWidth="1"/>
    <col min="22" max="22" width="24.42578125" style="72" hidden="1" customWidth="1"/>
    <col min="23" max="23" width="29.28515625" style="72" hidden="1" customWidth="1"/>
    <col min="24" max="24" width="15.28515625" style="72" hidden="1" customWidth="1"/>
    <col min="25" max="25" width="19.85546875" style="72" hidden="1" customWidth="1"/>
    <col min="26" max="26" width="12.42578125" style="72" hidden="1" customWidth="1"/>
    <col min="27" max="27" width="14.7109375" style="72" hidden="1" customWidth="1"/>
    <col min="28" max="28" width="15.28515625" style="72" hidden="1" customWidth="1"/>
    <col min="29" max="29" width="19.85546875" style="72" hidden="1" customWidth="1"/>
    <col min="30" max="30" width="12.42578125" style="72" hidden="1" customWidth="1"/>
    <col min="31" max="31" width="14.7109375" style="72" hidden="1" customWidth="1"/>
    <col min="32" max="16384" width="10.5703125" style="72"/>
  </cols>
  <sheetData>
    <row r="1" spans="1:31" ht="18.75" customHeight="1">
      <c r="A1" s="499" t="s">
        <v>94</v>
      </c>
      <c r="B1" s="499" t="s">
        <v>74</v>
      </c>
      <c r="C1" s="499" t="s">
        <v>65</v>
      </c>
      <c r="D1" s="499" t="s">
        <v>66</v>
      </c>
      <c r="E1" s="499" t="s">
        <v>67</v>
      </c>
      <c r="F1" s="499" t="s">
        <v>68</v>
      </c>
      <c r="G1" s="499" t="s">
        <v>69</v>
      </c>
      <c r="H1" s="501" t="s">
        <v>741</v>
      </c>
      <c r="I1" s="499" t="s">
        <v>145</v>
      </c>
      <c r="J1" s="499" t="s">
        <v>147</v>
      </c>
      <c r="K1" s="503" t="s">
        <v>70</v>
      </c>
      <c r="L1" s="503"/>
      <c r="M1" s="503" t="s">
        <v>79</v>
      </c>
      <c r="N1" s="503"/>
      <c r="O1" s="503"/>
      <c r="P1" s="503"/>
      <c r="Q1" s="475" t="s">
        <v>386</v>
      </c>
      <c r="R1" s="476"/>
      <c r="S1" s="476"/>
      <c r="T1" s="476"/>
      <c r="U1" s="476"/>
      <c r="V1" s="476"/>
      <c r="W1" s="476"/>
      <c r="X1" s="476"/>
      <c r="Y1" s="476"/>
      <c r="Z1" s="476"/>
      <c r="AA1" s="476"/>
      <c r="AB1" s="476"/>
      <c r="AC1" s="476"/>
      <c r="AD1" s="476"/>
      <c r="AE1" s="476"/>
    </row>
    <row r="2" spans="1:31" ht="20.25" customHeight="1">
      <c r="A2" s="499"/>
      <c r="B2" s="499"/>
      <c r="C2" s="499"/>
      <c r="D2" s="499"/>
      <c r="E2" s="499"/>
      <c r="F2" s="499"/>
      <c r="G2" s="499"/>
      <c r="H2" s="501"/>
      <c r="I2" s="499"/>
      <c r="J2" s="499"/>
      <c r="K2" s="511" t="s">
        <v>71</v>
      </c>
      <c r="L2" s="511" t="s">
        <v>72</v>
      </c>
      <c r="M2" s="67" t="s">
        <v>75</v>
      </c>
      <c r="N2" s="67" t="s">
        <v>76</v>
      </c>
      <c r="O2" s="67" t="s">
        <v>77</v>
      </c>
      <c r="P2" s="67" t="s">
        <v>78</v>
      </c>
      <c r="Q2" s="472" t="s">
        <v>75</v>
      </c>
      <c r="R2" s="473"/>
      <c r="S2" s="474"/>
      <c r="T2" s="472" t="s">
        <v>76</v>
      </c>
      <c r="U2" s="473"/>
      <c r="V2" s="473"/>
      <c r="W2" s="474"/>
      <c r="X2" s="469" t="s">
        <v>77</v>
      </c>
      <c r="Y2" s="470"/>
      <c r="Z2" s="470"/>
      <c r="AA2" s="471"/>
      <c r="AB2" s="472" t="s">
        <v>78</v>
      </c>
      <c r="AC2" s="473"/>
      <c r="AD2" s="473"/>
      <c r="AE2" s="474"/>
    </row>
    <row r="3" spans="1:31" ht="69.75" customHeight="1">
      <c r="A3" s="499"/>
      <c r="B3" s="499"/>
      <c r="C3" s="499"/>
      <c r="D3" s="499"/>
      <c r="E3" s="499"/>
      <c r="F3" s="499"/>
      <c r="G3" s="499"/>
      <c r="H3" s="502"/>
      <c r="I3" s="499"/>
      <c r="J3" s="499"/>
      <c r="K3" s="511"/>
      <c r="L3" s="511"/>
      <c r="M3" s="68" t="s">
        <v>64</v>
      </c>
      <c r="N3" s="68" t="s">
        <v>64</v>
      </c>
      <c r="O3" s="68" t="s">
        <v>64</v>
      </c>
      <c r="P3" s="68" t="s">
        <v>64</v>
      </c>
      <c r="Q3" s="69" t="s">
        <v>387</v>
      </c>
      <c r="R3" s="69" t="s">
        <v>388</v>
      </c>
      <c r="S3" s="69" t="s">
        <v>389</v>
      </c>
      <c r="T3" s="69" t="s">
        <v>696</v>
      </c>
      <c r="U3" s="69" t="s">
        <v>724</v>
      </c>
      <c r="V3" s="69" t="s">
        <v>708</v>
      </c>
      <c r="W3" s="69" t="s">
        <v>389</v>
      </c>
      <c r="X3" s="293" t="s">
        <v>696</v>
      </c>
      <c r="Y3" s="293" t="s">
        <v>724</v>
      </c>
      <c r="Z3" s="293" t="s">
        <v>708</v>
      </c>
      <c r="AA3" s="293" t="s">
        <v>389</v>
      </c>
      <c r="AB3" s="69" t="s">
        <v>696</v>
      </c>
      <c r="AC3" s="69" t="s">
        <v>724</v>
      </c>
      <c r="AD3" s="69" t="s">
        <v>708</v>
      </c>
      <c r="AE3" s="69" t="s">
        <v>389</v>
      </c>
    </row>
    <row r="4" spans="1:31" s="27" customFormat="1" ht="409.5">
      <c r="A4" s="622" t="s">
        <v>62</v>
      </c>
      <c r="B4" s="504" t="s">
        <v>92</v>
      </c>
      <c r="C4" s="265" t="s">
        <v>165</v>
      </c>
      <c r="D4" s="264">
        <v>0.7</v>
      </c>
      <c r="E4" s="145" t="s">
        <v>95</v>
      </c>
      <c r="F4" s="151" t="s">
        <v>129</v>
      </c>
      <c r="G4" s="151" t="s">
        <v>130</v>
      </c>
      <c r="H4" s="151" t="s">
        <v>719</v>
      </c>
      <c r="I4" s="145" t="s">
        <v>723</v>
      </c>
      <c r="J4" s="151" t="s">
        <v>336</v>
      </c>
      <c r="K4" s="272">
        <v>43132</v>
      </c>
      <c r="L4" s="272">
        <v>43464</v>
      </c>
      <c r="M4" s="268">
        <v>0.2</v>
      </c>
      <c r="N4" s="268">
        <v>0.4</v>
      </c>
      <c r="O4" s="268">
        <v>1</v>
      </c>
      <c r="P4" s="268">
        <v>1</v>
      </c>
      <c r="Q4" s="139">
        <v>0.2</v>
      </c>
      <c r="R4" s="139" t="s">
        <v>777</v>
      </c>
      <c r="S4" s="139" t="s">
        <v>537</v>
      </c>
      <c r="T4" s="144">
        <v>0.4</v>
      </c>
      <c r="U4" s="144" t="s">
        <v>1183</v>
      </c>
      <c r="V4" s="144" t="s">
        <v>1030</v>
      </c>
      <c r="W4" s="228" t="s">
        <v>1031</v>
      </c>
      <c r="X4" s="139">
        <v>0.5</v>
      </c>
      <c r="Y4" s="139" t="s">
        <v>1454</v>
      </c>
      <c r="Z4" s="139" t="s">
        <v>1455</v>
      </c>
      <c r="AA4" s="139" t="s">
        <v>1456</v>
      </c>
      <c r="AB4" s="139"/>
      <c r="AC4" s="139"/>
      <c r="AD4" s="139"/>
      <c r="AE4" s="139"/>
    </row>
    <row r="5" spans="1:31" s="27" customFormat="1" ht="409.5">
      <c r="A5" s="622"/>
      <c r="B5" s="504"/>
      <c r="C5" s="265" t="s">
        <v>337</v>
      </c>
      <c r="D5" s="264">
        <v>0.3</v>
      </c>
      <c r="E5" s="145" t="s">
        <v>95</v>
      </c>
      <c r="F5" s="151" t="s">
        <v>131</v>
      </c>
      <c r="G5" s="151" t="s">
        <v>132</v>
      </c>
      <c r="H5" s="151" t="s">
        <v>718</v>
      </c>
      <c r="I5" s="145" t="s">
        <v>723</v>
      </c>
      <c r="J5" s="151" t="s">
        <v>336</v>
      </c>
      <c r="K5" s="272">
        <v>43282</v>
      </c>
      <c r="L5" s="272">
        <v>43464</v>
      </c>
      <c r="M5" s="268">
        <v>0</v>
      </c>
      <c r="N5" s="268">
        <v>0</v>
      </c>
      <c r="O5" s="268">
        <v>0.5</v>
      </c>
      <c r="P5" s="268">
        <v>1</v>
      </c>
      <c r="Q5" s="138">
        <v>0</v>
      </c>
      <c r="R5" s="139" t="s">
        <v>663</v>
      </c>
      <c r="S5" s="138" t="s">
        <v>249</v>
      </c>
      <c r="T5" s="144" t="s">
        <v>420</v>
      </c>
      <c r="U5" s="144" t="s">
        <v>1135</v>
      </c>
      <c r="V5" s="144" t="s">
        <v>1030</v>
      </c>
      <c r="W5" s="228" t="s">
        <v>1031</v>
      </c>
      <c r="X5" s="138">
        <v>0.7</v>
      </c>
      <c r="Y5" s="144" t="s">
        <v>1481</v>
      </c>
      <c r="Z5" s="139" t="s">
        <v>1482</v>
      </c>
      <c r="AA5" s="139" t="s">
        <v>1483</v>
      </c>
      <c r="AB5" s="138"/>
      <c r="AC5" s="138"/>
      <c r="AD5" s="138"/>
      <c r="AE5" s="138"/>
    </row>
    <row r="6" spans="1:31">
      <c r="U6" s="83"/>
    </row>
    <row r="11" spans="1:31">
      <c r="Y11" s="83"/>
    </row>
  </sheetData>
  <mergeCells count="21">
    <mergeCell ref="H1:H3"/>
    <mergeCell ref="K1:L1"/>
    <mergeCell ref="M1:P1"/>
    <mergeCell ref="K2:K3"/>
    <mergeCell ref="L2:L3"/>
    <mergeCell ref="I1:I3"/>
    <mergeCell ref="J1:J3"/>
    <mergeCell ref="A4:A5"/>
    <mergeCell ref="B4:B5"/>
    <mergeCell ref="F1:F3"/>
    <mergeCell ref="G1:G3"/>
    <mergeCell ref="A1:A3"/>
    <mergeCell ref="B1:B3"/>
    <mergeCell ref="C1:C3"/>
    <mergeCell ref="D1:D3"/>
    <mergeCell ref="E1:E3"/>
    <mergeCell ref="T2:W2"/>
    <mergeCell ref="X2:AA2"/>
    <mergeCell ref="AB2:AE2"/>
    <mergeCell ref="Q1:AE1"/>
    <mergeCell ref="Q2:S2"/>
  </mergeCells>
  <hyperlinks>
    <hyperlink ref="W4" r:id="rId1"/>
    <hyperlink ref="W5" r:id="rId2"/>
  </hyperlinks>
  <pageMargins left="0.7" right="0.7" top="0.75" bottom="0.75" header="0.3" footer="0.3"/>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'\\icfesserv5\planeacion$\Users\cbeltran\Desktop\PAI_2018\[PLAN DE ACCIÓN 2018 ICFES STH 05012018.xlsx]Categorías'!#REF!</xm:f>
          </x14:formula1>
          <xm:sqref>A4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AG12"/>
  <sheetViews>
    <sheetView zoomScale="70" zoomScaleNormal="70" workbookViewId="0">
      <selection activeCell="A11" sqref="A11"/>
    </sheetView>
  </sheetViews>
  <sheetFormatPr baseColWidth="10" defaultColWidth="10.7109375" defaultRowHeight="12.75"/>
  <cols>
    <col min="1" max="1" width="3" style="109" customWidth="1"/>
    <col min="2" max="2" width="18.140625" style="109" customWidth="1"/>
    <col min="3" max="3" width="14.42578125" style="109" customWidth="1"/>
    <col min="4" max="4" width="23.28515625" style="109" customWidth="1"/>
    <col min="5" max="5" width="17.5703125" style="109" customWidth="1"/>
    <col min="6" max="6" width="17.42578125" style="109" customWidth="1"/>
    <col min="7" max="7" width="21.28515625" style="109" customWidth="1"/>
    <col min="8" max="9" width="34.28515625" style="109" customWidth="1"/>
    <col min="10" max="10" width="15.7109375" style="109" bestFit="1" customWidth="1"/>
    <col min="11" max="11" width="14.85546875" style="109" customWidth="1"/>
    <col min="12" max="13" width="16" style="109" customWidth="1"/>
    <col min="14" max="14" width="18.7109375" style="109" bestFit="1" customWidth="1"/>
    <col min="15" max="15" width="19.42578125" style="109" bestFit="1" customWidth="1"/>
    <col min="16" max="16" width="20.42578125" style="109" bestFit="1" customWidth="1"/>
    <col min="17" max="17" width="18.85546875" style="109" customWidth="1"/>
    <col min="18" max="20" width="20.7109375" style="63" hidden="1" customWidth="1"/>
    <col min="21" max="21" width="15.28515625" style="72" hidden="1" customWidth="1"/>
    <col min="22" max="22" width="19.85546875" style="109" hidden="1" customWidth="1"/>
    <col min="23" max="23" width="12.42578125" style="109" hidden="1" customWidth="1"/>
    <col min="24" max="24" width="14.7109375" style="109" hidden="1" customWidth="1"/>
    <col min="25" max="32" width="10.7109375" style="109" hidden="1" customWidth="1"/>
    <col min="33" max="16384" width="10.7109375" style="109"/>
  </cols>
  <sheetData>
    <row r="1" spans="2:33" ht="18.75" customHeight="1">
      <c r="B1" s="634" t="s">
        <v>94</v>
      </c>
      <c r="C1" s="634" t="s">
        <v>74</v>
      </c>
      <c r="D1" s="634" t="s">
        <v>65</v>
      </c>
      <c r="E1" s="634" t="s">
        <v>66</v>
      </c>
      <c r="F1" s="634" t="s">
        <v>67</v>
      </c>
      <c r="G1" s="634" t="s">
        <v>68</v>
      </c>
      <c r="H1" s="634" t="s">
        <v>69</v>
      </c>
      <c r="I1" s="634" t="s">
        <v>741</v>
      </c>
      <c r="J1" s="628" t="s">
        <v>338</v>
      </c>
      <c r="K1" s="628" t="s">
        <v>340</v>
      </c>
      <c r="L1" s="623" t="s">
        <v>70</v>
      </c>
      <c r="M1" s="623"/>
      <c r="N1" s="624" t="s">
        <v>79</v>
      </c>
      <c r="O1" s="625"/>
      <c r="P1" s="625"/>
      <c r="Q1" s="626"/>
      <c r="R1" s="475" t="s">
        <v>386</v>
      </c>
      <c r="S1" s="476"/>
      <c r="T1" s="476"/>
      <c r="U1" s="476"/>
      <c r="V1" s="476"/>
      <c r="W1" s="476"/>
      <c r="X1" s="476"/>
      <c r="Y1" s="476"/>
      <c r="Z1" s="476"/>
      <c r="AA1" s="476"/>
      <c r="AB1" s="476"/>
      <c r="AC1" s="476"/>
      <c r="AD1" s="476"/>
      <c r="AE1" s="476"/>
      <c r="AF1" s="476"/>
    </row>
    <row r="2" spans="2:33" ht="15" customHeight="1">
      <c r="B2" s="634"/>
      <c r="C2" s="634"/>
      <c r="D2" s="634"/>
      <c r="E2" s="634"/>
      <c r="F2" s="634"/>
      <c r="G2" s="634"/>
      <c r="H2" s="634"/>
      <c r="I2" s="634"/>
      <c r="J2" s="629"/>
      <c r="K2" s="629"/>
      <c r="L2" s="627" t="s">
        <v>71</v>
      </c>
      <c r="M2" s="627" t="s">
        <v>72</v>
      </c>
      <c r="N2" s="110" t="s">
        <v>75</v>
      </c>
      <c r="O2" s="110" t="s">
        <v>76</v>
      </c>
      <c r="P2" s="110" t="s">
        <v>77</v>
      </c>
      <c r="Q2" s="110" t="s">
        <v>78</v>
      </c>
      <c r="R2" s="472" t="s">
        <v>75</v>
      </c>
      <c r="S2" s="473"/>
      <c r="T2" s="474"/>
      <c r="U2" s="472" t="s">
        <v>76</v>
      </c>
      <c r="V2" s="473"/>
      <c r="W2" s="473"/>
      <c r="X2" s="474"/>
      <c r="Y2" s="469" t="s">
        <v>77</v>
      </c>
      <c r="Z2" s="470"/>
      <c r="AA2" s="470"/>
      <c r="AB2" s="471"/>
      <c r="AC2" s="472" t="s">
        <v>78</v>
      </c>
      <c r="AD2" s="473"/>
      <c r="AE2" s="473"/>
      <c r="AF2" s="474"/>
    </row>
    <row r="3" spans="2:33" ht="88.5" customHeight="1">
      <c r="B3" s="634"/>
      <c r="C3" s="634"/>
      <c r="D3" s="634"/>
      <c r="E3" s="634"/>
      <c r="F3" s="634"/>
      <c r="G3" s="634"/>
      <c r="H3" s="628"/>
      <c r="I3" s="628"/>
      <c r="J3" s="630"/>
      <c r="K3" s="630"/>
      <c r="L3" s="627"/>
      <c r="M3" s="627"/>
      <c r="N3" s="111" t="s">
        <v>64</v>
      </c>
      <c r="O3" s="111" t="s">
        <v>64</v>
      </c>
      <c r="P3" s="111" t="s">
        <v>64</v>
      </c>
      <c r="Q3" s="111" t="s">
        <v>64</v>
      </c>
      <c r="R3" s="69" t="s">
        <v>387</v>
      </c>
      <c r="S3" s="69" t="s">
        <v>388</v>
      </c>
      <c r="T3" s="69" t="s">
        <v>389</v>
      </c>
      <c r="U3" s="69" t="s">
        <v>696</v>
      </c>
      <c r="V3" s="69" t="s">
        <v>724</v>
      </c>
      <c r="W3" s="69" t="s">
        <v>708</v>
      </c>
      <c r="X3" s="69" t="s">
        <v>389</v>
      </c>
      <c r="Y3" s="293" t="s">
        <v>696</v>
      </c>
      <c r="Z3" s="293" t="s">
        <v>724</v>
      </c>
      <c r="AA3" s="293" t="s">
        <v>708</v>
      </c>
      <c r="AB3" s="293" t="s">
        <v>389</v>
      </c>
      <c r="AC3" s="69" t="s">
        <v>696</v>
      </c>
      <c r="AD3" s="69" t="s">
        <v>724</v>
      </c>
      <c r="AE3" s="69" t="s">
        <v>708</v>
      </c>
      <c r="AF3" s="69" t="s">
        <v>389</v>
      </c>
    </row>
    <row r="4" spans="2:33" ht="409.5">
      <c r="B4" s="635" t="s">
        <v>63</v>
      </c>
      <c r="C4" s="638" t="s">
        <v>63</v>
      </c>
      <c r="D4" s="112" t="s">
        <v>299</v>
      </c>
      <c r="E4" s="113">
        <v>0.3</v>
      </c>
      <c r="F4" s="114" t="s">
        <v>95</v>
      </c>
      <c r="G4" s="115">
        <v>1</v>
      </c>
      <c r="H4" s="280" t="s">
        <v>778</v>
      </c>
      <c r="I4" s="78" t="s">
        <v>813</v>
      </c>
      <c r="J4" s="116" t="s">
        <v>174</v>
      </c>
      <c r="K4" s="631" t="s">
        <v>339</v>
      </c>
      <c r="L4" s="117">
        <v>43101</v>
      </c>
      <c r="M4" s="118">
        <v>43464</v>
      </c>
      <c r="N4" s="119">
        <v>0.15</v>
      </c>
      <c r="O4" s="119">
        <v>0.5</v>
      </c>
      <c r="P4" s="119">
        <v>0.75</v>
      </c>
      <c r="Q4" s="119">
        <v>1</v>
      </c>
      <c r="R4" s="70">
        <v>0.25</v>
      </c>
      <c r="S4" s="97" t="s">
        <v>679</v>
      </c>
      <c r="T4" s="62" t="s">
        <v>551</v>
      </c>
      <c r="U4" s="62">
        <v>0.5</v>
      </c>
      <c r="V4" s="147" t="s">
        <v>887</v>
      </c>
      <c r="W4" s="62" t="s">
        <v>886</v>
      </c>
      <c r="X4" s="62" t="s">
        <v>551</v>
      </c>
      <c r="Y4" s="62">
        <v>0.7</v>
      </c>
      <c r="Z4" s="139" t="s">
        <v>1336</v>
      </c>
      <c r="AA4" s="62" t="s">
        <v>1337</v>
      </c>
      <c r="AB4" s="62" t="s">
        <v>551</v>
      </c>
      <c r="AC4" s="62"/>
      <c r="AD4" s="62"/>
      <c r="AE4" s="62"/>
      <c r="AF4" s="62"/>
      <c r="AG4" s="62"/>
    </row>
    <row r="5" spans="2:33" ht="285">
      <c r="B5" s="636"/>
      <c r="C5" s="639"/>
      <c r="D5" s="641" t="s">
        <v>298</v>
      </c>
      <c r="E5" s="643">
        <v>0.3</v>
      </c>
      <c r="F5" s="645" t="s">
        <v>95</v>
      </c>
      <c r="G5" s="647">
        <v>1</v>
      </c>
      <c r="H5" s="84" t="s">
        <v>779</v>
      </c>
      <c r="I5" s="568" t="s">
        <v>722</v>
      </c>
      <c r="J5" s="120" t="s">
        <v>146</v>
      </c>
      <c r="K5" s="632"/>
      <c r="L5" s="117">
        <v>43101</v>
      </c>
      <c r="M5" s="118">
        <v>43465</v>
      </c>
      <c r="N5" s="119">
        <v>0.25</v>
      </c>
      <c r="O5" s="119">
        <v>0.5</v>
      </c>
      <c r="P5" s="119">
        <v>0.75</v>
      </c>
      <c r="Q5" s="119">
        <v>1</v>
      </c>
      <c r="R5" s="70">
        <v>0.25</v>
      </c>
      <c r="S5" s="97" t="s">
        <v>680</v>
      </c>
      <c r="T5" s="47" t="s">
        <v>686</v>
      </c>
      <c r="U5" s="47">
        <v>0.71</v>
      </c>
      <c r="V5" s="548" t="s">
        <v>1161</v>
      </c>
      <c r="W5" s="47" t="s">
        <v>1159</v>
      </c>
      <c r="X5" s="47" t="s">
        <v>1160</v>
      </c>
      <c r="Y5" s="47">
        <v>1</v>
      </c>
      <c r="Z5" s="47">
        <v>1</v>
      </c>
      <c r="AA5" s="47" t="s">
        <v>1477</v>
      </c>
      <c r="AB5" s="334" t="s">
        <v>1478</v>
      </c>
      <c r="AC5" s="47"/>
      <c r="AD5" s="47"/>
      <c r="AE5" s="47"/>
      <c r="AF5" s="47"/>
      <c r="AG5" s="75"/>
    </row>
    <row r="6" spans="2:33" ht="256.5">
      <c r="B6" s="636"/>
      <c r="C6" s="639"/>
      <c r="D6" s="642"/>
      <c r="E6" s="644"/>
      <c r="F6" s="646"/>
      <c r="G6" s="648"/>
      <c r="H6" s="84" t="s">
        <v>720</v>
      </c>
      <c r="I6" s="570"/>
      <c r="J6" s="121" t="s">
        <v>146</v>
      </c>
      <c r="K6" s="632"/>
      <c r="L6" s="117">
        <v>43191</v>
      </c>
      <c r="M6" s="118">
        <v>43465</v>
      </c>
      <c r="N6" s="119">
        <v>0</v>
      </c>
      <c r="O6" s="119">
        <v>0.3</v>
      </c>
      <c r="P6" s="119">
        <v>0.6</v>
      </c>
      <c r="Q6" s="119">
        <v>1</v>
      </c>
      <c r="R6" s="70" t="s">
        <v>420</v>
      </c>
      <c r="S6" s="80" t="s">
        <v>853</v>
      </c>
      <c r="T6" s="73" t="s">
        <v>420</v>
      </c>
      <c r="U6" s="47">
        <v>0.75</v>
      </c>
      <c r="V6" s="549"/>
      <c r="W6" s="47" t="s">
        <v>1158</v>
      </c>
      <c r="X6" s="47" t="s">
        <v>1160</v>
      </c>
      <c r="Y6" s="47">
        <v>1</v>
      </c>
      <c r="Z6" s="47">
        <v>1</v>
      </c>
      <c r="AA6" s="47" t="s">
        <v>1479</v>
      </c>
      <c r="AB6" s="334" t="s">
        <v>1478</v>
      </c>
      <c r="AC6" s="47"/>
      <c r="AD6" s="47"/>
      <c r="AE6" s="47"/>
      <c r="AF6" s="47"/>
      <c r="AG6" s="47"/>
    </row>
    <row r="7" spans="2:33" ht="409.5">
      <c r="B7" s="636"/>
      <c r="C7" s="639"/>
      <c r="D7" s="112" t="s">
        <v>297</v>
      </c>
      <c r="E7" s="113">
        <v>0.2</v>
      </c>
      <c r="F7" s="114" t="s">
        <v>95</v>
      </c>
      <c r="G7" s="115">
        <v>1</v>
      </c>
      <c r="H7" s="281" t="s">
        <v>780</v>
      </c>
      <c r="I7" s="78" t="s">
        <v>814</v>
      </c>
      <c r="J7" s="116" t="s">
        <v>174</v>
      </c>
      <c r="K7" s="632"/>
      <c r="L7" s="117">
        <v>43101</v>
      </c>
      <c r="M7" s="118">
        <v>43465</v>
      </c>
      <c r="N7" s="119">
        <v>0.2</v>
      </c>
      <c r="O7" s="119">
        <v>0.6</v>
      </c>
      <c r="P7" s="119">
        <v>0.75</v>
      </c>
      <c r="Q7" s="119">
        <v>1</v>
      </c>
      <c r="R7" s="70">
        <v>0.25</v>
      </c>
      <c r="S7" s="97" t="s">
        <v>550</v>
      </c>
      <c r="T7" s="97" t="s">
        <v>551</v>
      </c>
      <c r="U7" s="62">
        <v>0.5</v>
      </c>
      <c r="V7" s="147" t="s">
        <v>887</v>
      </c>
      <c r="W7" s="125" t="s">
        <v>916</v>
      </c>
      <c r="X7" s="97" t="s">
        <v>551</v>
      </c>
      <c r="Y7" s="62">
        <v>0.7</v>
      </c>
      <c r="Z7" s="139" t="s">
        <v>1336</v>
      </c>
      <c r="AA7" s="62" t="s">
        <v>1337</v>
      </c>
      <c r="AB7" s="62" t="s">
        <v>551</v>
      </c>
      <c r="AC7" s="97"/>
      <c r="AD7" s="97"/>
      <c r="AE7" s="97"/>
      <c r="AF7" s="97"/>
      <c r="AG7" s="97"/>
    </row>
    <row r="8" spans="2:33" ht="409.5">
      <c r="B8" s="637"/>
      <c r="C8" s="640"/>
      <c r="D8" s="112" t="s">
        <v>296</v>
      </c>
      <c r="E8" s="113">
        <v>0.2</v>
      </c>
      <c r="F8" s="114" t="s">
        <v>95</v>
      </c>
      <c r="G8" s="115">
        <v>1</v>
      </c>
      <c r="H8" s="84" t="s">
        <v>721</v>
      </c>
      <c r="I8" s="123" t="s">
        <v>815</v>
      </c>
      <c r="J8" s="122" t="s">
        <v>174</v>
      </c>
      <c r="K8" s="633"/>
      <c r="L8" s="117">
        <v>43191</v>
      </c>
      <c r="M8" s="118">
        <v>43465</v>
      </c>
      <c r="N8" s="119">
        <v>0</v>
      </c>
      <c r="O8" s="119">
        <v>0.5</v>
      </c>
      <c r="P8" s="119">
        <v>0.75</v>
      </c>
      <c r="Q8" s="119">
        <v>1</v>
      </c>
      <c r="R8" s="70">
        <v>0.25</v>
      </c>
      <c r="S8" s="97" t="s">
        <v>552</v>
      </c>
      <c r="T8" s="97" t="s">
        <v>551</v>
      </c>
      <c r="U8" s="62">
        <v>0.6</v>
      </c>
      <c r="V8" s="147" t="s">
        <v>889</v>
      </c>
      <c r="W8" s="97" t="s">
        <v>888</v>
      </c>
      <c r="X8" s="97" t="s">
        <v>551</v>
      </c>
      <c r="Y8" s="62">
        <v>0.8</v>
      </c>
      <c r="Z8" s="139" t="s">
        <v>1338</v>
      </c>
      <c r="AA8" s="97" t="s">
        <v>1339</v>
      </c>
      <c r="AB8" s="97" t="s">
        <v>551</v>
      </c>
      <c r="AC8" s="97"/>
      <c r="AD8" s="97"/>
      <c r="AE8" s="97"/>
      <c r="AF8" s="97"/>
      <c r="AG8" s="97"/>
    </row>
    <row r="9" spans="2:33" ht="14.25">
      <c r="I9" s="124"/>
      <c r="W9" s="83"/>
    </row>
    <row r="10" spans="2:33" ht="14.25">
      <c r="I10" s="124"/>
    </row>
    <row r="11" spans="2:33" ht="14.25">
      <c r="I11" s="124"/>
    </row>
    <row r="12" spans="2:33" ht="14.25">
      <c r="I12" s="124"/>
    </row>
  </sheetData>
  <mergeCells count="28">
    <mergeCell ref="K4:K8"/>
    <mergeCell ref="E1:E3"/>
    <mergeCell ref="F1:F3"/>
    <mergeCell ref="B4:B8"/>
    <mergeCell ref="C4:C8"/>
    <mergeCell ref="B1:B3"/>
    <mergeCell ref="C1:C3"/>
    <mergeCell ref="D1:D3"/>
    <mergeCell ref="G1:G3"/>
    <mergeCell ref="H1:H3"/>
    <mergeCell ref="I1:I3"/>
    <mergeCell ref="D5:D6"/>
    <mergeCell ref="E5:E6"/>
    <mergeCell ref="F5:F6"/>
    <mergeCell ref="G5:G6"/>
    <mergeCell ref="I5:I6"/>
    <mergeCell ref="L1:M1"/>
    <mergeCell ref="N1:Q1"/>
    <mergeCell ref="L2:L3"/>
    <mergeCell ref="M2:M3"/>
    <mergeCell ref="J1:J3"/>
    <mergeCell ref="K1:K3"/>
    <mergeCell ref="V5:V6"/>
    <mergeCell ref="U2:X2"/>
    <mergeCell ref="Y2:AB2"/>
    <mergeCell ref="AC2:AF2"/>
    <mergeCell ref="R1:AF1"/>
    <mergeCell ref="R2:T2"/>
  </mergeCells>
  <hyperlinks>
    <hyperlink ref="AB6" r:id="rId1"/>
    <hyperlink ref="AB5" r:id="rId2"/>
  </hyperlinks>
  <pageMargins left="0.7" right="0.7" top="0.75" bottom="0.75" header="0.3" footer="0.3"/>
  <pageSetup orientation="portrait" horizontalDpi="4294967294" verticalDpi="4294967294"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'\\icfesserv5\planeacion$\2018\Gestión y Desempeño Institucional\Plan Sectorial\[Formato_Plan de Accion 2018_EAV - CONSOLIDADO.xlsx]Categorías'!#REF!</xm:f>
          </x14:formula1>
          <xm:sqref>B4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2.xml><?xml version="1.0" encoding="utf-8"?>
<ds:datastoreItem xmlns:ds="http://schemas.openxmlformats.org/officeDocument/2006/customXml" ds:itemID="{492F8411-93EC-4201-A614-F2C25C7AFA34}">
  <ds:schemaRefs>
    <ds:schemaRef ds:uri="http://schemas.openxmlformats.org/package/2006/metadata/core-properties"/>
    <ds:schemaRef ds:uri="http://purl.org/dc/terms/"/>
    <ds:schemaRef ds:uri="http://purl.org/dc/elements/1.1/"/>
    <ds:schemaRef ds:uri="http://www.w3.org/XML/1998/namespace"/>
    <ds:schemaRef ds:uri="http://schemas.microsoft.com/office/2006/documentManagement/types"/>
    <ds:schemaRef ds:uri="bbb1532b-ab18-4e7b-be3e-fa8e2303545f"/>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Seguimiento planes MIPG</vt:lpstr>
      <vt:lpstr>TALENTO_ HUMANO</vt:lpstr>
      <vt:lpstr>DIRECCIONAMIENTO ESTRATEGICO</vt:lpstr>
      <vt:lpstr>VALORES PARA RESULTADOS</vt:lpstr>
      <vt:lpstr>TALENTO HUMANO</vt:lpstr>
      <vt:lpstr>EVALUACIÓN DE RESULTADOS </vt:lpstr>
      <vt:lpstr>INFORMACIÓN Y COMUNICACIÓN</vt:lpstr>
      <vt:lpstr>GESTIÓN DEL CONOCIMIENTO </vt:lpstr>
      <vt:lpstr>CONTROL INTERNO</vt:lpstr>
      <vt:lpstr>Control de cambios</vt:lpstr>
      <vt:lpstr>GESTIÓN DEL CONOCIMIENTO</vt:lpstr>
      <vt:lpstr>EVALUACIÓN DE RESULTADOS</vt:lpstr>
      <vt:lpstr>Categorías</vt:lpstr>
    </vt:vector>
  </TitlesOfParts>
  <Company>Camara de comercio de cartagena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Adriana Bello</cp:lastModifiedBy>
  <cp:lastPrinted>2017-10-26T15:22:21Z</cp:lastPrinted>
  <dcterms:created xsi:type="dcterms:W3CDTF">2008-08-05T17:06:18Z</dcterms:created>
  <dcterms:modified xsi:type="dcterms:W3CDTF">2019-02-21T20:36:59Z</dcterms:modified>
</cp:coreProperties>
</file>