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autoCompressPictures="0" defaultThemeVersion="124226"/>
  <mc:AlternateContent xmlns:mc="http://schemas.openxmlformats.org/markup-compatibility/2006">
    <mc:Choice Requires="x15">
      <x15ac:absPath xmlns:x15ac="http://schemas.microsoft.com/office/spreadsheetml/2010/11/ac" url="C:\Users\ssalazar\Downloads\Comunicaciones\Definitivo\"/>
    </mc:Choice>
  </mc:AlternateContent>
  <bookViews>
    <workbookView xWindow="0" yWindow="0" windowWidth="19170" windowHeight="7245" tabRatio="798" firstSheet="4" activeTab="4"/>
  </bookViews>
  <sheets>
    <sheet name="ANEXO 1_2014" sheetId="7" state="hidden" r:id="rId1"/>
    <sheet name="ANEXO 1 (2)" sheetId="8" state="hidden" r:id="rId2"/>
    <sheet name="Hoja3" sheetId="16" state="hidden" r:id="rId3"/>
    <sheet name="CONSOLIDADO." sheetId="22" state="hidden" r:id="rId4"/>
    <sheet name="ANEXO ECONOMICO" sheetId="33" r:id="rId5"/>
    <sheet name="cONSOLIDADO (2)" sheetId="19" state="hidden" r:id="rId6"/>
    <sheet name="cONSOLIDADO" sheetId="15" state="hidden" r:id="rId7"/>
    <sheet name="CO4AJUSTADA" sheetId="32" state="hidden" r:id="rId8"/>
    <sheet name="Anexo" sheetId="25" state="hidden" r:id="rId9"/>
    <sheet name="C01_INICIAL" sheetId="9" state="hidden" r:id="rId10"/>
    <sheet name="CO2" sheetId="14" state="hidden" r:id="rId11"/>
    <sheet name="CO3" sheetId="17" state="hidden" r:id="rId12"/>
    <sheet name="CO4" sheetId="21" state="hidden" r:id="rId13"/>
    <sheet name="CO5" sheetId="24" state="hidden" r:id="rId14"/>
    <sheet name="CO1_MODIFICADA" sheetId="26" state="hidden" r:id="rId15"/>
    <sheet name="ICFES" sheetId="28" state="hidden" r:id="rId16"/>
    <sheet name="OPTIMA 2015" sheetId="29" state="hidden" r:id="rId17"/>
    <sheet name="SECOP_CATA" sheetId="30" state="hidden" r:id="rId18"/>
    <sheet name="SECOP_ALEJOY CARO" sheetId="31" state="hidden" r:id="rId19"/>
    <sheet name="SECOP_CONIE" sheetId="27" state="hidden" r:id="rId20"/>
  </sheets>
  <externalReferences>
    <externalReference r:id="rId21"/>
    <externalReference r:id="rId22"/>
    <externalReference r:id="rId23"/>
    <externalReference r:id="rId24"/>
  </externalReferences>
  <definedNames>
    <definedName name="_0">#N/A</definedName>
    <definedName name="_GoBack" localSheetId="17">SECOP_CATA!$D$22</definedName>
    <definedName name="_xlnm.Print_Area" localSheetId="8">Anexo!$A$1:$G$87</definedName>
    <definedName name="_xlnm.Print_Area" localSheetId="4">'ANEXO ECONOMICO'!$A$8:$K$79</definedName>
    <definedName name="_xlnm.Print_Area" localSheetId="9">'C01_INICIAL'!$A$1:$G$87</definedName>
    <definedName name="_xlnm.Print_Area" localSheetId="14">CO1_MODIFICADA!$A$1:$G$81</definedName>
    <definedName name="_xlnm.Print_Area" localSheetId="10">'CO2'!$A$1:$G$87</definedName>
    <definedName name="_xlnm.Print_Area" localSheetId="11">'CO3'!$A$1:$G$85</definedName>
    <definedName name="_xlnm.Print_Area" localSheetId="12">'CO4'!$A$1:$G$102</definedName>
    <definedName name="_xlnm.Print_Area" localSheetId="7">CO4AJUSTADA!$A$8:$H$78</definedName>
    <definedName name="_xlnm.Print_Area" localSheetId="13">'CO5'!$A$1:$G$81</definedName>
    <definedName name="_xlnm.Print_Area" localSheetId="6">cONSOLIDADO!$A$1:$G$87</definedName>
    <definedName name="_xlnm.Print_Area" localSheetId="5">'cONSOLIDADO (2)'!$A$1:$F$87</definedName>
    <definedName name="_xlnm.Print_Area" localSheetId="3">CONSOLIDADO.!$A$8:$Q$78</definedName>
    <definedName name="_xlnm.Print_Area" localSheetId="15">ICFES!$A$8:$K$81</definedName>
    <definedName name="_xlnm.Print_Area" localSheetId="16">'OPTIMA 2015'!$B$1:$F$230</definedName>
    <definedName name="_xlnm.Print_Area" localSheetId="18">'SECOP_ALEJOY CARO'!$A$25:$D$42</definedName>
    <definedName name="proyectos01">'[1]bienes y servicios'!$F$3:$F$3660</definedName>
    <definedName name="_xlnm.Print_Titles" localSheetId="8">Anexo!$8:$9</definedName>
    <definedName name="_xlnm.Print_Titles" localSheetId="1">'ANEXO 1 (2)'!$7:$9</definedName>
    <definedName name="_xlnm.Print_Titles" localSheetId="0">'ANEXO 1_2014'!$7:$9</definedName>
    <definedName name="_xlnm.Print_Titles" localSheetId="4">'ANEXO ECONOMICO'!$8:$9</definedName>
    <definedName name="_xlnm.Print_Titles" localSheetId="9">'C01_INICIAL'!$8:$9</definedName>
    <definedName name="_xlnm.Print_Titles" localSheetId="14">CO1_MODIFICADA!$8:$9</definedName>
    <definedName name="_xlnm.Print_Titles" localSheetId="10">'CO2'!$8:$9</definedName>
    <definedName name="_xlnm.Print_Titles" localSheetId="11">'CO3'!$8:$9</definedName>
    <definedName name="_xlnm.Print_Titles" localSheetId="12">'CO4'!$8:$9</definedName>
    <definedName name="_xlnm.Print_Titles" localSheetId="7">CO4AJUSTADA!$8:$9</definedName>
    <definedName name="_xlnm.Print_Titles" localSheetId="13">'CO5'!$8:$9</definedName>
    <definedName name="_xlnm.Print_Titles" localSheetId="6">cONSOLIDADO!$8:$9</definedName>
    <definedName name="_xlnm.Print_Titles" localSheetId="5">'cONSOLIDADO (2)'!$8:$9</definedName>
    <definedName name="_xlnm.Print_Titles" localSheetId="3">CONSOLIDADO.!$8:$9</definedName>
    <definedName name="_xlnm.Print_Titles" localSheetId="15">ICFES!$8:$9</definedName>
    <definedName name="_xlnm.Print_Titles" localSheetId="16">'OPTIMA 2015'!$1:$3</definedName>
    <definedName name="xx">'[2]UNIDAD MEDIDA'!$D$2:$D$3</definedName>
    <definedName name="xxx" localSheetId="11">'[1]bienes y servicios'!$F$3:$F$3660</definedName>
    <definedName name="xxx">'[1]bienes y servicios'!$F$3:$F$3660</definedName>
  </definedNames>
  <calcPr calcId="152511" iterateDelta="1E-4"/>
  <extLst>
    <ext xmlns:mx="http://schemas.microsoft.com/office/mac/excel/2008/main" uri="{7523E5D3-25F3-A5E0-1632-64F254C22452}">
      <mx:ArchID Flags="2"/>
    </ext>
  </extLst>
</workbook>
</file>

<file path=xl/calcChain.xml><?xml version="1.0" encoding="utf-8"?>
<calcChain xmlns="http://schemas.openxmlformats.org/spreadsheetml/2006/main">
  <c r="I12" i="33" l="1"/>
  <c r="I72" i="33" s="1"/>
  <c r="I71" i="33"/>
  <c r="I69" i="33"/>
  <c r="I67" i="33"/>
  <c r="I66" i="33"/>
  <c r="I65" i="33"/>
  <c r="I63" i="33"/>
  <c r="I62" i="33"/>
  <c r="I61" i="33"/>
  <c r="I60" i="33"/>
  <c r="I58" i="33"/>
  <c r="I57" i="33"/>
  <c r="I56" i="33"/>
  <c r="I55" i="33"/>
  <c r="I54" i="33"/>
  <c r="I53" i="33"/>
  <c r="I52" i="33"/>
  <c r="I51" i="33"/>
  <c r="I50" i="33"/>
  <c r="I49" i="33"/>
  <c r="I48" i="33"/>
  <c r="I47" i="33"/>
  <c r="I46" i="33"/>
  <c r="I45" i="33"/>
  <c r="I44" i="33"/>
  <c r="I43" i="33"/>
  <c r="I42" i="33"/>
  <c r="I41" i="33"/>
  <c r="I40" i="33"/>
  <c r="I39" i="33"/>
  <c r="I38" i="33"/>
  <c r="I37" i="33"/>
  <c r="I36" i="33"/>
  <c r="I35" i="33"/>
  <c r="I34" i="33"/>
  <c r="I33" i="33"/>
  <c r="I32" i="33"/>
  <c r="I31" i="33"/>
  <c r="I30" i="33"/>
  <c r="I29" i="33"/>
  <c r="I28" i="33"/>
  <c r="I27" i="33"/>
  <c r="I26" i="33"/>
  <c r="I25" i="33"/>
  <c r="I24" i="33"/>
  <c r="I23" i="33"/>
  <c r="I22" i="33"/>
  <c r="I13" i="33"/>
  <c r="I14" i="33"/>
  <c r="I15" i="33"/>
  <c r="I16" i="33"/>
  <c r="I17" i="33"/>
  <c r="I18" i="33"/>
  <c r="I19" i="33"/>
  <c r="I20" i="33"/>
  <c r="H13" i="33" l="1"/>
  <c r="H14" i="33"/>
  <c r="H15" i="33"/>
  <c r="H16" i="33"/>
  <c r="H17" i="33"/>
  <c r="H18" i="33"/>
  <c r="H19" i="33"/>
  <c r="H20" i="33"/>
  <c r="H21" i="33"/>
  <c r="H22" i="33"/>
  <c r="H23" i="33"/>
  <c r="H24" i="33"/>
  <c r="H25" i="33"/>
  <c r="H26" i="33"/>
  <c r="H27" i="33"/>
  <c r="H28" i="33"/>
  <c r="H29" i="33"/>
  <c r="H30" i="33"/>
  <c r="H31" i="33"/>
  <c r="H32" i="33"/>
  <c r="H33" i="33"/>
  <c r="H34" i="33"/>
  <c r="H35" i="33"/>
  <c r="H36" i="33"/>
  <c r="H37" i="33"/>
  <c r="H38" i="33"/>
  <c r="H39" i="33"/>
  <c r="H40" i="33"/>
  <c r="H41" i="33"/>
  <c r="H42" i="33"/>
  <c r="H43" i="33"/>
  <c r="H44" i="33"/>
  <c r="H45" i="33"/>
  <c r="H46" i="33"/>
  <c r="H47" i="33"/>
  <c r="H48" i="33"/>
  <c r="H49" i="33"/>
  <c r="H50" i="33"/>
  <c r="H51" i="33"/>
  <c r="H52" i="33"/>
  <c r="H53" i="33"/>
  <c r="H54" i="33"/>
  <c r="H55" i="33"/>
  <c r="H56" i="33"/>
  <c r="H57" i="33"/>
  <c r="H58" i="33"/>
  <c r="H59" i="33"/>
  <c r="H60" i="33"/>
  <c r="H61" i="33"/>
  <c r="H62" i="33"/>
  <c r="H63" i="33"/>
  <c r="H64" i="33"/>
  <c r="H65" i="33"/>
  <c r="H66" i="33"/>
  <c r="H67" i="33"/>
  <c r="H68" i="33"/>
  <c r="H69" i="33"/>
  <c r="H70" i="33"/>
  <c r="H71" i="33"/>
  <c r="H12" i="33"/>
  <c r="F71" i="33"/>
  <c r="F67" i="33"/>
  <c r="F66" i="33"/>
  <c r="F65" i="33"/>
  <c r="F63" i="33"/>
  <c r="F61" i="33"/>
  <c r="F58" i="33"/>
  <c r="F57" i="33"/>
  <c r="F56" i="33"/>
  <c r="F55" i="33"/>
  <c r="F54" i="33"/>
  <c r="F53" i="33"/>
  <c r="F51" i="33"/>
  <c r="F49" i="33"/>
  <c r="F47" i="33"/>
  <c r="F46" i="33"/>
  <c r="F45" i="33"/>
  <c r="F44" i="33"/>
  <c r="F43" i="33"/>
  <c r="F42" i="33"/>
  <c r="F41" i="33"/>
  <c r="F40" i="33"/>
  <c r="F39" i="33"/>
  <c r="F38" i="33"/>
  <c r="F37" i="33"/>
  <c r="F36" i="33"/>
  <c r="F35" i="33"/>
  <c r="F34" i="33"/>
  <c r="F33" i="33"/>
  <c r="F32" i="33"/>
  <c r="F31" i="33"/>
  <c r="F30" i="33"/>
  <c r="F29" i="33"/>
  <c r="F28" i="33"/>
  <c r="F27" i="33"/>
  <c r="F26" i="33"/>
  <c r="F25" i="33"/>
  <c r="F24" i="33"/>
  <c r="F23" i="33"/>
  <c r="A23" i="33"/>
  <c r="A24" i="33" s="1"/>
  <c r="A25" i="33" s="1"/>
  <c r="A26" i="33" s="1"/>
  <c r="A27" i="33" s="1"/>
  <c r="A28" i="33" s="1"/>
  <c r="A29" i="33" s="1"/>
  <c r="A30" i="33" s="1"/>
  <c r="A31" i="33" s="1"/>
  <c r="A32" i="33" s="1"/>
  <c r="A33" i="33" s="1"/>
  <c r="A34" i="33" s="1"/>
  <c r="A35" i="33" s="1"/>
  <c r="A36" i="33" s="1"/>
  <c r="A37" i="33" s="1"/>
  <c r="A38" i="33" s="1"/>
  <c r="A39" i="33" s="1"/>
  <c r="A40" i="33" s="1"/>
  <c r="A41" i="33" s="1"/>
  <c r="A42" i="33" s="1"/>
  <c r="A43" i="33" s="1"/>
  <c r="A44" i="33" s="1"/>
  <c r="A45" i="33" s="1"/>
  <c r="A46" i="33" s="1"/>
  <c r="A47" i="33" s="1"/>
  <c r="A48" i="33" s="1"/>
  <c r="A49" i="33" s="1"/>
  <c r="A50" i="33" s="1"/>
  <c r="A51" i="33" s="1"/>
  <c r="A52" i="33" s="1"/>
  <c r="A53" i="33" s="1"/>
  <c r="A54" i="33" s="1"/>
  <c r="A55" i="33" s="1"/>
  <c r="A56" i="33" s="1"/>
  <c r="A57" i="33" s="1"/>
  <c r="F22" i="33"/>
  <c r="F20" i="33"/>
  <c r="F19" i="33"/>
  <c r="F18" i="33"/>
  <c r="F17" i="33"/>
  <c r="F16" i="33"/>
  <c r="F15" i="33"/>
  <c r="F14" i="33"/>
  <c r="F13" i="33"/>
  <c r="F12" i="33"/>
  <c r="K20" i="22"/>
  <c r="J19" i="22"/>
  <c r="J18" i="22"/>
  <c r="J15" i="22"/>
  <c r="J14" i="22"/>
  <c r="J13" i="22"/>
  <c r="J12" i="22"/>
  <c r="H72" i="33" l="1"/>
  <c r="H75" i="33" s="1"/>
  <c r="H71" i="22"/>
  <c r="H69" i="22"/>
  <c r="H66" i="22"/>
  <c r="H65" i="22"/>
  <c r="H62" i="22"/>
  <c r="H63" i="22"/>
  <c r="H61" i="22"/>
  <c r="H60" i="22"/>
  <c r="H39" i="22"/>
  <c r="H40" i="22"/>
  <c r="H41" i="22"/>
  <c r="H42" i="22"/>
  <c r="H43" i="22"/>
  <c r="H44" i="22"/>
  <c r="H45" i="22"/>
  <c r="H46" i="22"/>
  <c r="H47" i="22"/>
  <c r="H48" i="22"/>
  <c r="H49" i="22"/>
  <c r="H50" i="22"/>
  <c r="H51" i="22"/>
  <c r="H52" i="22"/>
  <c r="H58" i="22"/>
  <c r="H23" i="22"/>
  <c r="H24" i="22"/>
  <c r="H25" i="22"/>
  <c r="H26" i="22"/>
  <c r="H27" i="22"/>
  <c r="H28" i="22"/>
  <c r="H29" i="22"/>
  <c r="H30" i="22"/>
  <c r="H31" i="22"/>
  <c r="H32" i="22"/>
  <c r="H33" i="22"/>
  <c r="H34" i="22"/>
  <c r="H35" i="22"/>
  <c r="H36" i="22"/>
  <c r="H37" i="22"/>
  <c r="H38" i="22"/>
  <c r="H22" i="22"/>
  <c r="H13" i="22"/>
  <c r="H14" i="22"/>
  <c r="H15" i="22"/>
  <c r="H16" i="22"/>
  <c r="H17" i="22"/>
  <c r="H18" i="22"/>
  <c r="H19" i="22"/>
  <c r="H20" i="22"/>
  <c r="H12" i="22"/>
  <c r="H72" i="22" l="1"/>
  <c r="H76" i="33"/>
  <c r="H77" i="33" s="1"/>
  <c r="H78" i="33" s="1"/>
  <c r="I75" i="33"/>
  <c r="I76" i="33" s="1"/>
  <c r="I77" i="33" s="1"/>
  <c r="I78" i="33" s="1"/>
  <c r="G12" i="22"/>
  <c r="G13" i="22"/>
  <c r="G14" i="22"/>
  <c r="G15" i="22"/>
  <c r="G16" i="22"/>
  <c r="G17" i="22"/>
  <c r="G18" i="22"/>
  <c r="G19" i="22"/>
  <c r="G20" i="22"/>
  <c r="G21" i="22"/>
  <c r="G22" i="22"/>
  <c r="G23" i="22"/>
  <c r="G24" i="22"/>
  <c r="G25" i="22"/>
  <c r="G26" i="22"/>
  <c r="G27" i="22"/>
  <c r="L27" i="22" s="1"/>
  <c r="G28" i="22"/>
  <c r="G29" i="22"/>
  <c r="G30" i="22"/>
  <c r="G31" i="22"/>
  <c r="G32" i="22"/>
  <c r="G33" i="22"/>
  <c r="G34" i="22"/>
  <c r="G35" i="22"/>
  <c r="G36" i="22"/>
  <c r="G37" i="22"/>
  <c r="G38" i="22"/>
  <c r="G39" i="22"/>
  <c r="G40" i="22"/>
  <c r="G41" i="22"/>
  <c r="G42" i="22"/>
  <c r="G43" i="22"/>
  <c r="G44" i="22"/>
  <c r="G45" i="22"/>
  <c r="G46" i="22"/>
  <c r="G47" i="22"/>
  <c r="G48" i="22"/>
  <c r="G49" i="22"/>
  <c r="G50" i="22"/>
  <c r="G51" i="22"/>
  <c r="G52" i="22"/>
  <c r="G58" i="22"/>
  <c r="G59" i="22"/>
  <c r="G60" i="22"/>
  <c r="G61" i="22"/>
  <c r="G62" i="22"/>
  <c r="G63" i="22"/>
  <c r="L63" i="22" s="1"/>
  <c r="G64" i="22"/>
  <c r="G65" i="22"/>
  <c r="G66" i="22"/>
  <c r="G67" i="22"/>
  <c r="G68" i="22"/>
  <c r="G69" i="22"/>
  <c r="G70" i="22"/>
  <c r="G71" i="22"/>
  <c r="G73" i="22"/>
  <c r="G74" i="22"/>
  <c r="I71" i="22"/>
  <c r="I69" i="22"/>
  <c r="I66" i="22"/>
  <c r="I65" i="22"/>
  <c r="I63" i="22"/>
  <c r="I62" i="22"/>
  <c r="I61" i="22"/>
  <c r="I60" i="22"/>
  <c r="I23" i="22"/>
  <c r="I24" i="22"/>
  <c r="I25" i="22"/>
  <c r="I26" i="22"/>
  <c r="I27" i="22"/>
  <c r="I28" i="22"/>
  <c r="I29" i="22"/>
  <c r="I30" i="22"/>
  <c r="I31" i="22"/>
  <c r="I32" i="22"/>
  <c r="I33" i="22"/>
  <c r="I34" i="22"/>
  <c r="I35" i="22"/>
  <c r="I36" i="22"/>
  <c r="I37" i="22"/>
  <c r="I38" i="22"/>
  <c r="I39" i="22"/>
  <c r="I40" i="22"/>
  <c r="I41" i="22"/>
  <c r="I42" i="22"/>
  <c r="I43" i="22"/>
  <c r="I44" i="22"/>
  <c r="I45" i="22"/>
  <c r="I46" i="22"/>
  <c r="I47" i="22"/>
  <c r="I48" i="22"/>
  <c r="I49" i="22"/>
  <c r="I50" i="22"/>
  <c r="I51" i="22"/>
  <c r="I52" i="22"/>
  <c r="I58" i="22"/>
  <c r="I22" i="22"/>
  <c r="I13" i="22"/>
  <c r="I14" i="22"/>
  <c r="I15" i="22"/>
  <c r="I16" i="22"/>
  <c r="I17" i="22"/>
  <c r="I18" i="22"/>
  <c r="I19" i="22"/>
  <c r="I20" i="22"/>
  <c r="I12" i="22"/>
  <c r="H76" i="32"/>
  <c r="G74" i="32"/>
  <c r="G73" i="32"/>
  <c r="I72" i="32"/>
  <c r="G72" i="32"/>
  <c r="H71" i="32"/>
  <c r="F71" i="32"/>
  <c r="H70" i="32"/>
  <c r="H69" i="32"/>
  <c r="H68" i="32"/>
  <c r="H67" i="32"/>
  <c r="F67" i="32"/>
  <c r="H66" i="32"/>
  <c r="F66" i="32"/>
  <c r="H65" i="32"/>
  <c r="F65" i="32"/>
  <c r="H64" i="32"/>
  <c r="H63" i="32"/>
  <c r="F63" i="32"/>
  <c r="H62" i="32"/>
  <c r="H61" i="32"/>
  <c r="F61" i="32"/>
  <c r="H60" i="32"/>
  <c r="H59" i="32"/>
  <c r="H58" i="32"/>
  <c r="F58" i="32"/>
  <c r="H57" i="32"/>
  <c r="F57" i="32"/>
  <c r="H56" i="32"/>
  <c r="F56" i="32"/>
  <c r="H55" i="32"/>
  <c r="F55" i="32"/>
  <c r="H54" i="32"/>
  <c r="F54" i="32"/>
  <c r="H53" i="32"/>
  <c r="F53" i="32"/>
  <c r="H52" i="32"/>
  <c r="H51" i="32"/>
  <c r="F51" i="32"/>
  <c r="H50" i="32"/>
  <c r="H49" i="32"/>
  <c r="F49" i="32"/>
  <c r="H48" i="32"/>
  <c r="H47" i="32"/>
  <c r="F47" i="32"/>
  <c r="H46" i="32"/>
  <c r="F46" i="32"/>
  <c r="H45" i="32"/>
  <c r="F45" i="32"/>
  <c r="H44" i="32"/>
  <c r="F44" i="32"/>
  <c r="H43" i="32"/>
  <c r="F43" i="32"/>
  <c r="H42" i="32"/>
  <c r="F42" i="32"/>
  <c r="H41" i="32"/>
  <c r="F41" i="32"/>
  <c r="H40" i="32"/>
  <c r="F40" i="32"/>
  <c r="H39" i="32"/>
  <c r="F39" i="32"/>
  <c r="H38" i="32"/>
  <c r="F38" i="32"/>
  <c r="H37" i="32"/>
  <c r="F37" i="32"/>
  <c r="H36" i="32"/>
  <c r="F36" i="32"/>
  <c r="H35" i="32"/>
  <c r="F35" i="32"/>
  <c r="H34" i="32"/>
  <c r="F34" i="32"/>
  <c r="H33" i="32"/>
  <c r="F33" i="32"/>
  <c r="H32" i="32"/>
  <c r="F32" i="32"/>
  <c r="H31" i="32"/>
  <c r="F31" i="32"/>
  <c r="H30" i="32"/>
  <c r="F30" i="32"/>
  <c r="H29" i="32"/>
  <c r="F29" i="32"/>
  <c r="H28" i="32"/>
  <c r="F28" i="32"/>
  <c r="H27" i="32"/>
  <c r="F27" i="32"/>
  <c r="H26" i="32"/>
  <c r="F26" i="32"/>
  <c r="H25" i="32"/>
  <c r="F25" i="32"/>
  <c r="H24" i="32"/>
  <c r="F24" i="32"/>
  <c r="H23" i="32"/>
  <c r="F23" i="32"/>
  <c r="A23" i="32"/>
  <c r="A24" i="32" s="1"/>
  <c r="A25" i="32" s="1"/>
  <c r="A26" i="32" s="1"/>
  <c r="A27" i="32" s="1"/>
  <c r="A28" i="32" s="1"/>
  <c r="A29" i="32" s="1"/>
  <c r="A30" i="32" s="1"/>
  <c r="A31" i="32" s="1"/>
  <c r="A32" i="32" s="1"/>
  <c r="A33" i="32" s="1"/>
  <c r="A34" i="32" s="1"/>
  <c r="A35" i="32" s="1"/>
  <c r="A36" i="32" s="1"/>
  <c r="A37" i="32" s="1"/>
  <c r="A38" i="32" s="1"/>
  <c r="A39" i="32" s="1"/>
  <c r="A40" i="32" s="1"/>
  <c r="A41" i="32" s="1"/>
  <c r="A42" i="32" s="1"/>
  <c r="A43" i="32" s="1"/>
  <c r="A44" i="32" s="1"/>
  <c r="A45" i="32" s="1"/>
  <c r="A46" i="32" s="1"/>
  <c r="A47" i="32" s="1"/>
  <c r="A48" i="32" s="1"/>
  <c r="A49" i="32" s="1"/>
  <c r="A50" i="32" s="1"/>
  <c r="A51" i="32" s="1"/>
  <c r="A52" i="32" s="1"/>
  <c r="A53" i="32" s="1"/>
  <c r="A54" i="32" s="1"/>
  <c r="A55" i="32" s="1"/>
  <c r="A56" i="32" s="1"/>
  <c r="A57" i="32" s="1"/>
  <c r="H22" i="32"/>
  <c r="F22" i="32"/>
  <c r="H21" i="32"/>
  <c r="H20" i="32"/>
  <c r="F20" i="32"/>
  <c r="H19" i="32"/>
  <c r="F19" i="32"/>
  <c r="H18" i="32"/>
  <c r="F18" i="32"/>
  <c r="H17" i="32"/>
  <c r="F17" i="32"/>
  <c r="H16" i="32"/>
  <c r="F16" i="32"/>
  <c r="H15" i="32"/>
  <c r="F15" i="32"/>
  <c r="H14" i="32"/>
  <c r="F14" i="32"/>
  <c r="H13" i="32"/>
  <c r="F13" i="32"/>
  <c r="H12" i="32"/>
  <c r="F12" i="32"/>
  <c r="L45" i="22" l="1"/>
  <c r="L29" i="22"/>
  <c r="H72" i="32"/>
  <c r="H75" i="32" s="1"/>
  <c r="H77" i="32" s="1"/>
  <c r="H78" i="32" s="1"/>
  <c r="L22" i="22"/>
  <c r="L60" i="22"/>
  <c r="L61" i="22"/>
  <c r="L13" i="22"/>
  <c r="L15" i="22"/>
  <c r="L65" i="22"/>
  <c r="L20" i="22"/>
  <c r="L12" i="22"/>
  <c r="N12" i="22" s="1"/>
  <c r="L31" i="22"/>
  <c r="L62" i="22"/>
  <c r="L69" i="22"/>
  <c r="L14" i="22"/>
  <c r="L19" i="22"/>
  <c r="G72" i="22"/>
  <c r="S21" i="22" l="1"/>
  <c r="S59" i="22"/>
  <c r="S64" i="22"/>
  <c r="S68" i="22"/>
  <c r="S70" i="22"/>
  <c r="R74" i="22"/>
  <c r="R20" i="22"/>
  <c r="S20" i="22" s="1"/>
  <c r="J66" i="22"/>
  <c r="L66" i="22" s="1"/>
  <c r="J37" i="22" l="1"/>
  <c r="L37" i="22" s="1"/>
  <c r="N74" i="22" l="1"/>
  <c r="N21" i="22"/>
  <c r="N59" i="22"/>
  <c r="N64" i="22"/>
  <c r="N68" i="22"/>
  <c r="N70" i="22"/>
  <c r="J34" i="22"/>
  <c r="L34" i="22" s="1"/>
  <c r="J58" i="22"/>
  <c r="L58" i="22" s="1"/>
  <c r="J35" i="22"/>
  <c r="L35" i="22" s="1"/>
  <c r="J71" i="22"/>
  <c r="L71" i="22" s="1"/>
  <c r="J52" i="22"/>
  <c r="J51" i="22"/>
  <c r="L51" i="22" s="1"/>
  <c r="J50" i="22"/>
  <c r="J48" i="22"/>
  <c r="J49" i="22"/>
  <c r="L49" i="22" s="1"/>
  <c r="J47" i="22"/>
  <c r="L47" i="22" s="1"/>
  <c r="J46" i="22"/>
  <c r="J44" i="22"/>
  <c r="J43" i="22"/>
  <c r="L43" i="22" s="1"/>
  <c r="J42" i="22"/>
  <c r="J41" i="22"/>
  <c r="L41" i="22" s="1"/>
  <c r="J40" i="22"/>
  <c r="J39" i="22"/>
  <c r="L39" i="22" s="1"/>
  <c r="J38" i="22"/>
  <c r="L38" i="22" s="1"/>
  <c r="J33" i="22"/>
  <c r="J30" i="22"/>
  <c r="J28" i="22"/>
  <c r="J24" i="22"/>
  <c r="L24" i="22" s="1"/>
  <c r="K16" i="22"/>
  <c r="K42" i="22" l="1"/>
  <c r="L42" i="22" s="1"/>
  <c r="K44" i="22"/>
  <c r="L44" i="22" s="1"/>
  <c r="K46" i="22"/>
  <c r="L46" i="22" s="1"/>
  <c r="K48" i="22"/>
  <c r="L48" i="22" s="1"/>
  <c r="K50" i="22"/>
  <c r="L50" i="22" s="1"/>
  <c r="K52" i="22"/>
  <c r="L52" i="22" s="1"/>
  <c r="K40" i="22"/>
  <c r="L40" i="22" s="1"/>
  <c r="K33" i="22"/>
  <c r="L33" i="22" s="1"/>
  <c r="K32" i="22"/>
  <c r="L32" i="22" s="1"/>
  <c r="K30" i="22"/>
  <c r="L30" i="22" s="1"/>
  <c r="K28" i="22"/>
  <c r="L28" i="22" s="1"/>
  <c r="K23" i="22" l="1"/>
  <c r="L23" i="22" s="1"/>
  <c r="K18" i="22"/>
  <c r="L18" i="22" s="1"/>
  <c r="F221" i="29"/>
  <c r="F216" i="29"/>
  <c r="F223" i="29" s="1"/>
  <c r="F151" i="29"/>
  <c r="F141" i="29"/>
  <c r="F119" i="29"/>
  <c r="F153" i="29" s="1"/>
  <c r="G52" i="29"/>
  <c r="F13" i="29"/>
  <c r="K72" i="22" l="1"/>
  <c r="F226" i="29"/>
  <c r="R19" i="22" l="1"/>
  <c r="S19" i="22" s="1"/>
  <c r="R18" i="22"/>
  <c r="S18" i="22" s="1"/>
  <c r="J17" i="22"/>
  <c r="R15" i="22"/>
  <c r="S15" i="22" s="1"/>
  <c r="R14" i="22"/>
  <c r="S14" i="22" s="1"/>
  <c r="R13" i="22"/>
  <c r="S13" i="22" s="1"/>
  <c r="R12" i="22"/>
  <c r="S12" i="22" s="1"/>
  <c r="K77" i="28"/>
  <c r="I77" i="28"/>
  <c r="G77" i="28"/>
  <c r="I76" i="28"/>
  <c r="H76" i="28"/>
  <c r="G76" i="28"/>
  <c r="J76" i="28" s="1"/>
  <c r="K76" i="28" s="1"/>
  <c r="P75" i="28"/>
  <c r="I74" i="28"/>
  <c r="H74" i="28"/>
  <c r="G74" i="28"/>
  <c r="F74" i="28"/>
  <c r="K73" i="28"/>
  <c r="I73" i="28"/>
  <c r="H73" i="28"/>
  <c r="G73" i="28"/>
  <c r="I72" i="28"/>
  <c r="H72" i="28"/>
  <c r="G72" i="28"/>
  <c r="K71" i="28"/>
  <c r="I71" i="28"/>
  <c r="H71" i="28"/>
  <c r="G71" i="28"/>
  <c r="K70" i="28"/>
  <c r="I70" i="28"/>
  <c r="H70" i="28"/>
  <c r="G70" i="28"/>
  <c r="K69" i="28"/>
  <c r="I69" i="28"/>
  <c r="H69" i="28"/>
  <c r="G69" i="28"/>
  <c r="I68" i="28"/>
  <c r="H68" i="28"/>
  <c r="G68" i="28"/>
  <c r="F68" i="28"/>
  <c r="I67" i="28"/>
  <c r="H67" i="28"/>
  <c r="G67" i="28"/>
  <c r="J67" i="28" s="1"/>
  <c r="K67" i="28" s="1"/>
  <c r="F67" i="28"/>
  <c r="I66" i="28"/>
  <c r="H66" i="28"/>
  <c r="G66" i="28"/>
  <c r="F66" i="28"/>
  <c r="I65" i="28"/>
  <c r="H65" i="28"/>
  <c r="G65" i="28"/>
  <c r="I64" i="28"/>
  <c r="H64" i="28"/>
  <c r="G64" i="28"/>
  <c r="F64" i="28"/>
  <c r="I63" i="28"/>
  <c r="J63" i="28" s="1"/>
  <c r="K63" i="28" s="1"/>
  <c r="H63" i="28"/>
  <c r="G63" i="28"/>
  <c r="F63" i="28"/>
  <c r="I62" i="28"/>
  <c r="H62" i="28"/>
  <c r="G62" i="28"/>
  <c r="I61" i="28"/>
  <c r="H61" i="28"/>
  <c r="G61" i="28"/>
  <c r="F61" i="28"/>
  <c r="I60" i="28"/>
  <c r="H60" i="28"/>
  <c r="G60" i="28"/>
  <c r="I59" i="28"/>
  <c r="H59" i="28"/>
  <c r="G59" i="28"/>
  <c r="I58" i="28"/>
  <c r="H58" i="28"/>
  <c r="G58" i="28"/>
  <c r="F58" i="28"/>
  <c r="K57" i="28"/>
  <c r="I57" i="28"/>
  <c r="H57" i="28"/>
  <c r="G57" i="28"/>
  <c r="F57" i="28"/>
  <c r="K56" i="28"/>
  <c r="I56" i="28"/>
  <c r="H56" i="28"/>
  <c r="G56" i="28"/>
  <c r="F56" i="28"/>
  <c r="K55" i="28"/>
  <c r="I55" i="28"/>
  <c r="H55" i="28"/>
  <c r="G55" i="28"/>
  <c r="F55" i="28"/>
  <c r="K54" i="28"/>
  <c r="I54" i="28"/>
  <c r="H54" i="28"/>
  <c r="G54" i="28"/>
  <c r="F54" i="28"/>
  <c r="K53" i="28"/>
  <c r="I53" i="28"/>
  <c r="H53" i="28"/>
  <c r="G53" i="28"/>
  <c r="F53" i="28"/>
  <c r="I52" i="28"/>
  <c r="H52" i="28"/>
  <c r="G52" i="28"/>
  <c r="I51" i="28"/>
  <c r="H51" i="28"/>
  <c r="G51" i="28"/>
  <c r="F51" i="28"/>
  <c r="I50" i="28"/>
  <c r="H50" i="28"/>
  <c r="G50" i="28"/>
  <c r="I49" i="28"/>
  <c r="H49" i="28"/>
  <c r="G49" i="28"/>
  <c r="F49" i="28"/>
  <c r="I48" i="28"/>
  <c r="H48" i="28"/>
  <c r="G48" i="28"/>
  <c r="I47" i="28"/>
  <c r="H47" i="28"/>
  <c r="G47" i="28"/>
  <c r="F47" i="28"/>
  <c r="I46" i="28"/>
  <c r="H46" i="28"/>
  <c r="G46" i="28"/>
  <c r="F46" i="28"/>
  <c r="I45" i="28"/>
  <c r="H45" i="28"/>
  <c r="G45" i="28"/>
  <c r="F45" i="28"/>
  <c r="I44" i="28"/>
  <c r="H44" i="28"/>
  <c r="G44" i="28"/>
  <c r="F44" i="28"/>
  <c r="I43" i="28"/>
  <c r="H43" i="28"/>
  <c r="G43" i="28"/>
  <c r="F43" i="28"/>
  <c r="I42" i="28"/>
  <c r="H42" i="28"/>
  <c r="G42" i="28"/>
  <c r="F42" i="28"/>
  <c r="I41" i="28"/>
  <c r="H41" i="28"/>
  <c r="G41" i="28"/>
  <c r="F41" i="28"/>
  <c r="I40" i="28"/>
  <c r="H40" i="28"/>
  <c r="G40" i="28"/>
  <c r="F40" i="28"/>
  <c r="I39" i="28"/>
  <c r="H39" i="28"/>
  <c r="G39" i="28"/>
  <c r="F39" i="28"/>
  <c r="I38" i="28"/>
  <c r="H38" i="28"/>
  <c r="G38" i="28"/>
  <c r="F38" i="28"/>
  <c r="I37" i="28"/>
  <c r="H37" i="28"/>
  <c r="G37" i="28"/>
  <c r="F37" i="28"/>
  <c r="I36" i="28"/>
  <c r="H36" i="28"/>
  <c r="G36" i="28"/>
  <c r="F36" i="28"/>
  <c r="I35" i="28"/>
  <c r="H35" i="28"/>
  <c r="G35" i="28"/>
  <c r="F35" i="28"/>
  <c r="I34" i="28"/>
  <c r="H34" i="28"/>
  <c r="G34" i="28"/>
  <c r="J34" i="28" s="1"/>
  <c r="K34" i="28" s="1"/>
  <c r="F34" i="28"/>
  <c r="I33" i="28"/>
  <c r="H33" i="28"/>
  <c r="G33" i="28"/>
  <c r="F33" i="28"/>
  <c r="I32" i="28"/>
  <c r="H32" i="28"/>
  <c r="G32" i="28"/>
  <c r="F32" i="28"/>
  <c r="I31" i="28"/>
  <c r="H31" i="28"/>
  <c r="G31" i="28"/>
  <c r="F31" i="28"/>
  <c r="I30" i="28"/>
  <c r="H30" i="28"/>
  <c r="G30" i="28"/>
  <c r="F30" i="28"/>
  <c r="I29" i="28"/>
  <c r="H29" i="28"/>
  <c r="G29" i="28"/>
  <c r="F29" i="28"/>
  <c r="I28" i="28"/>
  <c r="H28" i="28"/>
  <c r="G28" i="28"/>
  <c r="F28" i="28"/>
  <c r="I27" i="28"/>
  <c r="H27" i="28"/>
  <c r="G27" i="28"/>
  <c r="F27" i="28"/>
  <c r="I26" i="28"/>
  <c r="H26" i="28"/>
  <c r="G26" i="28"/>
  <c r="F26" i="28"/>
  <c r="I25" i="28"/>
  <c r="H25" i="28"/>
  <c r="G25" i="28"/>
  <c r="F25" i="28"/>
  <c r="I24" i="28"/>
  <c r="H24" i="28"/>
  <c r="G24" i="28"/>
  <c r="F24" i="28"/>
  <c r="I23" i="28"/>
  <c r="H23" i="28"/>
  <c r="G23" i="28"/>
  <c r="F23" i="28"/>
  <c r="A23" i="28"/>
  <c r="A24" i="28" s="1"/>
  <c r="A25" i="28" s="1"/>
  <c r="A26" i="28" s="1"/>
  <c r="A27" i="28" s="1"/>
  <c r="A28" i="28" s="1"/>
  <c r="A29" i="28" s="1"/>
  <c r="A30" i="28" s="1"/>
  <c r="A31" i="28" s="1"/>
  <c r="A32" i="28" s="1"/>
  <c r="A33" i="28" s="1"/>
  <c r="A34" i="28" s="1"/>
  <c r="A35" i="28" s="1"/>
  <c r="A36" i="28" s="1"/>
  <c r="A37" i="28" s="1"/>
  <c r="A38" i="28" s="1"/>
  <c r="A39" i="28" s="1"/>
  <c r="A40" i="28" s="1"/>
  <c r="A41" i="28" s="1"/>
  <c r="A42" i="28" s="1"/>
  <c r="A43" i="28" s="1"/>
  <c r="A44" i="28" s="1"/>
  <c r="A45" i="28" s="1"/>
  <c r="A46" i="28" s="1"/>
  <c r="A47" i="28" s="1"/>
  <c r="A48" i="28" s="1"/>
  <c r="A49" i="28" s="1"/>
  <c r="A50" i="28" s="1"/>
  <c r="A51" i="28" s="1"/>
  <c r="A52" i="28" s="1"/>
  <c r="A53" i="28" s="1"/>
  <c r="A54" i="28" s="1"/>
  <c r="A55" i="28" s="1"/>
  <c r="A56" i="28" s="1"/>
  <c r="A57" i="28" s="1"/>
  <c r="I22" i="28"/>
  <c r="H22" i="28"/>
  <c r="G22" i="28"/>
  <c r="F22" i="28"/>
  <c r="I21" i="28"/>
  <c r="H21" i="28"/>
  <c r="G21" i="28"/>
  <c r="I20" i="28"/>
  <c r="H20" i="28"/>
  <c r="G20" i="28"/>
  <c r="F20" i="28"/>
  <c r="I19" i="28"/>
  <c r="H19" i="28"/>
  <c r="G19" i="28"/>
  <c r="F19" i="28"/>
  <c r="I18" i="28"/>
  <c r="H18" i="28"/>
  <c r="G18" i="28"/>
  <c r="F18" i="28"/>
  <c r="I17" i="28"/>
  <c r="H17" i="28"/>
  <c r="G17" i="28"/>
  <c r="F17" i="28"/>
  <c r="I16" i="28"/>
  <c r="H16" i="28"/>
  <c r="G16" i="28"/>
  <c r="F16" i="28"/>
  <c r="I15" i="28"/>
  <c r="H15" i="28"/>
  <c r="G15" i="28"/>
  <c r="F15" i="28"/>
  <c r="I14" i="28"/>
  <c r="H14" i="28"/>
  <c r="G14" i="28"/>
  <c r="F14" i="28"/>
  <c r="I13" i="28"/>
  <c r="H13" i="28"/>
  <c r="G13" i="28"/>
  <c r="F13" i="28"/>
  <c r="I12" i="28"/>
  <c r="H12" i="28"/>
  <c r="G12" i="28"/>
  <c r="F12" i="28"/>
  <c r="S17" i="22" l="1"/>
  <c r="R17" i="22"/>
  <c r="L17" i="22"/>
  <c r="J61" i="28"/>
  <c r="K61" i="28" s="1"/>
  <c r="J25" i="28"/>
  <c r="K25" i="28" s="1"/>
  <c r="J29" i="28"/>
  <c r="K29" i="28" s="1"/>
  <c r="J33" i="28"/>
  <c r="K33" i="28" s="1"/>
  <c r="J41" i="28"/>
  <c r="K41" i="28" s="1"/>
  <c r="J13" i="28"/>
  <c r="K13" i="28" s="1"/>
  <c r="J15" i="28"/>
  <c r="K15" i="28" s="1"/>
  <c r="J17" i="28"/>
  <c r="K17" i="28" s="1"/>
  <c r="J19" i="28"/>
  <c r="K19" i="28" s="1"/>
  <c r="J23" i="28"/>
  <c r="K23" i="28" s="1"/>
  <c r="J45" i="28"/>
  <c r="K45" i="28" s="1"/>
  <c r="J49" i="28"/>
  <c r="K49" i="28" s="1"/>
  <c r="J58" i="28"/>
  <c r="K58" i="28" s="1"/>
  <c r="J37" i="28"/>
  <c r="K37" i="28" s="1"/>
  <c r="J51" i="28"/>
  <c r="K51" i="28" s="1"/>
  <c r="J12" i="28"/>
  <c r="K12" i="28" s="1"/>
  <c r="J42" i="28"/>
  <c r="K42" i="28" s="1"/>
  <c r="J44" i="28"/>
  <c r="K44" i="28" s="1"/>
  <c r="J48" i="28"/>
  <c r="K48" i="28" s="1"/>
  <c r="J26" i="28"/>
  <c r="K26" i="28" s="1"/>
  <c r="J28" i="28"/>
  <c r="K28" i="28" s="1"/>
  <c r="J14" i="28"/>
  <c r="K14" i="28" s="1"/>
  <c r="J66" i="28"/>
  <c r="K66" i="28" s="1"/>
  <c r="J74" i="28"/>
  <c r="K74" i="28" s="1"/>
  <c r="J31" i="28"/>
  <c r="K31" i="28" s="1"/>
  <c r="J40" i="28"/>
  <c r="K40" i="28" s="1"/>
  <c r="J64" i="28"/>
  <c r="K64" i="28" s="1"/>
  <c r="J60" i="28"/>
  <c r="K60" i="28" s="1"/>
  <c r="J24" i="28"/>
  <c r="K24" i="28" s="1"/>
  <c r="J18" i="28"/>
  <c r="K18" i="28" s="1"/>
  <c r="J20" i="28"/>
  <c r="K20" i="28" s="1"/>
  <c r="J36" i="28"/>
  <c r="K36" i="28" s="1"/>
  <c r="J22" i="28"/>
  <c r="K22" i="28" s="1"/>
  <c r="J68" i="28"/>
  <c r="K68" i="28" s="1"/>
  <c r="J27" i="28"/>
  <c r="K27" i="28" s="1"/>
  <c r="J38" i="28"/>
  <c r="K38" i="28" s="1"/>
  <c r="J47" i="28"/>
  <c r="K47" i="28" s="1"/>
  <c r="J62" i="28"/>
  <c r="K62" i="28" s="1"/>
  <c r="J16" i="28"/>
  <c r="K16" i="28" s="1"/>
  <c r="J50" i="28"/>
  <c r="K50" i="28" s="1"/>
  <c r="J52" i="28"/>
  <c r="K52" i="28" s="1"/>
  <c r="J72" i="28"/>
  <c r="K72" i="28" s="1"/>
  <c r="J43" i="28"/>
  <c r="K43" i="28" s="1"/>
  <c r="I75" i="28"/>
  <c r="H75" i="28"/>
  <c r="J30" i="28"/>
  <c r="K30" i="28" s="1"/>
  <c r="J32" i="28"/>
  <c r="K32" i="28" s="1"/>
  <c r="J35" i="28"/>
  <c r="K35" i="28" s="1"/>
  <c r="J39" i="28"/>
  <c r="K39" i="28" s="1"/>
  <c r="J46" i="28"/>
  <c r="K46" i="28" s="1"/>
  <c r="G75" i="28"/>
  <c r="J75" i="28" l="1"/>
  <c r="K75" i="28"/>
  <c r="K78" i="28" s="1"/>
  <c r="K79" i="28" s="1"/>
  <c r="K80" i="28" s="1"/>
  <c r="K81" i="28" s="1"/>
  <c r="J36" i="22"/>
  <c r="L36" i="22" s="1"/>
  <c r="J26" i="22"/>
  <c r="L26" i="22" s="1"/>
  <c r="J25" i="22"/>
  <c r="L25" i="22" s="1"/>
  <c r="I3" i="27"/>
  <c r="J16" i="22"/>
  <c r="G81" i="26"/>
  <c r="G75" i="26"/>
  <c r="G74" i="26"/>
  <c r="G73" i="26"/>
  <c r="G71" i="26"/>
  <c r="G69" i="26"/>
  <c r="G66" i="26"/>
  <c r="G65" i="26"/>
  <c r="G64" i="26"/>
  <c r="G63" i="26"/>
  <c r="G62" i="26"/>
  <c r="G61" i="26"/>
  <c r="G59" i="26"/>
  <c r="G57" i="26"/>
  <c r="G55" i="26"/>
  <c r="G54" i="26"/>
  <c r="G53" i="26"/>
  <c r="G52" i="26"/>
  <c r="G51" i="26"/>
  <c r="G50" i="26"/>
  <c r="G49" i="26"/>
  <c r="G48" i="26"/>
  <c r="G47" i="26"/>
  <c r="G46" i="26"/>
  <c r="G45" i="26"/>
  <c r="G44" i="26"/>
  <c r="G43" i="26"/>
  <c r="G42" i="26"/>
  <c r="G41" i="26"/>
  <c r="G40" i="26"/>
  <c r="G39" i="26"/>
  <c r="G38" i="26"/>
  <c r="G37" i="26"/>
  <c r="G36" i="26"/>
  <c r="G35" i="26"/>
  <c r="G34" i="26"/>
  <c r="G33" i="26"/>
  <c r="G32" i="26"/>
  <c r="G31" i="26"/>
  <c r="A31" i="26"/>
  <c r="A32" i="26" s="1"/>
  <c r="A33" i="26" s="1"/>
  <c r="A34" i="26" s="1"/>
  <c r="A35" i="26" s="1"/>
  <c r="A36" i="26" s="1"/>
  <c r="A37" i="26" s="1"/>
  <c r="A38" i="26" s="1"/>
  <c r="A39" i="26" s="1"/>
  <c r="A40" i="26" s="1"/>
  <c r="A41" i="26" s="1"/>
  <c r="A42" i="26" s="1"/>
  <c r="A43" i="26" s="1"/>
  <c r="A44" i="26" s="1"/>
  <c r="A45" i="26" s="1"/>
  <c r="A46" i="26" s="1"/>
  <c r="A47" i="26" s="1"/>
  <c r="A48" i="26" s="1"/>
  <c r="A49" i="26" s="1"/>
  <c r="A50" i="26" s="1"/>
  <c r="A51" i="26" s="1"/>
  <c r="A52" i="26" s="1"/>
  <c r="A53" i="26" s="1"/>
  <c r="A54" i="26" s="1"/>
  <c r="A55" i="26" s="1"/>
  <c r="A56" i="26" s="1"/>
  <c r="A57" i="26" s="1"/>
  <c r="A58" i="26" s="1"/>
  <c r="A59" i="26" s="1"/>
  <c r="A60" i="26" s="1"/>
  <c r="A61" i="26" s="1"/>
  <c r="A62" i="26" s="1"/>
  <c r="A63" i="26" s="1"/>
  <c r="A64" i="26" s="1"/>
  <c r="A65" i="26" s="1"/>
  <c r="A66" i="26" s="1"/>
  <c r="G30" i="26"/>
  <c r="G28" i="26"/>
  <c r="G27" i="26"/>
  <c r="G26" i="26"/>
  <c r="G25" i="26"/>
  <c r="G24" i="26"/>
  <c r="G23" i="26"/>
  <c r="G22" i="26"/>
  <c r="G21" i="26"/>
  <c r="G20" i="26"/>
  <c r="G19" i="26"/>
  <c r="G18" i="26"/>
  <c r="G17" i="26"/>
  <c r="G16" i="26"/>
  <c r="G15" i="26"/>
  <c r="G14" i="26"/>
  <c r="G13" i="26"/>
  <c r="G12" i="26"/>
  <c r="R16" i="22" l="1"/>
  <c r="S16" i="22" s="1"/>
  <c r="L16" i="22"/>
  <c r="G87" i="25"/>
  <c r="G85" i="25"/>
  <c r="G83" i="25"/>
  <c r="G81" i="25"/>
  <c r="G80" i="25"/>
  <c r="G79" i="25"/>
  <c r="G77" i="25"/>
  <c r="G76" i="25"/>
  <c r="G75" i="25"/>
  <c r="G74" i="25"/>
  <c r="G73" i="25"/>
  <c r="G72" i="25"/>
  <c r="G71" i="25"/>
  <c r="G70" i="25"/>
  <c r="G69" i="25"/>
  <c r="G67" i="25"/>
  <c r="G66" i="25"/>
  <c r="G65" i="25"/>
  <c r="G64" i="25"/>
  <c r="G63" i="25"/>
  <c r="G62" i="25"/>
  <c r="G61" i="25"/>
  <c r="G60" i="25"/>
  <c r="G59" i="25"/>
  <c r="G58" i="25"/>
  <c r="G57" i="25"/>
  <c r="G56" i="25"/>
  <c r="G55" i="25"/>
  <c r="G54" i="25"/>
  <c r="G53" i="25"/>
  <c r="G52" i="25"/>
  <c r="G51" i="25"/>
  <c r="G50" i="25"/>
  <c r="G49" i="25"/>
  <c r="G48" i="25"/>
  <c r="G47" i="25"/>
  <c r="G46" i="25"/>
  <c r="G45" i="25"/>
  <c r="G44" i="25"/>
  <c r="G43" i="25"/>
  <c r="G42" i="25"/>
  <c r="G41" i="25"/>
  <c r="G40" i="25"/>
  <c r="G39" i="25"/>
  <c r="G38" i="25"/>
  <c r="G37" i="25"/>
  <c r="G36" i="25"/>
  <c r="G35" i="25"/>
  <c r="G34" i="25"/>
  <c r="G33" i="25"/>
  <c r="G32" i="25"/>
  <c r="A32" i="25"/>
  <c r="A33" i="25" s="1"/>
  <c r="A34" i="25" s="1"/>
  <c r="A35" i="25" s="1"/>
  <c r="A36" i="25" s="1"/>
  <c r="A37" i="25" s="1"/>
  <c r="A38" i="25" s="1"/>
  <c r="A39" i="25" s="1"/>
  <c r="A40" i="25" s="1"/>
  <c r="A41" i="25" s="1"/>
  <c r="A42" i="25" s="1"/>
  <c r="A43" i="25" s="1"/>
  <c r="A44" i="25" s="1"/>
  <c r="A45" i="25" s="1"/>
  <c r="A46" i="25" s="1"/>
  <c r="A47" i="25" s="1"/>
  <c r="A48" i="25" s="1"/>
  <c r="A49" i="25" s="1"/>
  <c r="A50" i="25" s="1"/>
  <c r="A51" i="25" s="1"/>
  <c r="A52" i="25" s="1"/>
  <c r="A53" i="25" s="1"/>
  <c r="A54" i="25" s="1"/>
  <c r="A55" i="25" s="1"/>
  <c r="A56" i="25" s="1"/>
  <c r="A57" i="25" s="1"/>
  <c r="A58" i="25" s="1"/>
  <c r="A59" i="25" s="1"/>
  <c r="A60" i="25" s="1"/>
  <c r="A61" i="25" s="1"/>
  <c r="A62" i="25" s="1"/>
  <c r="A63" i="25" s="1"/>
  <c r="A64" i="25" s="1"/>
  <c r="A65" i="25" s="1"/>
  <c r="A66" i="25" s="1"/>
  <c r="A67" i="25" s="1"/>
  <c r="G31" i="25"/>
  <c r="G29" i="25"/>
  <c r="G28" i="25"/>
  <c r="G27" i="25"/>
  <c r="G26" i="25"/>
  <c r="G25" i="25"/>
  <c r="G24" i="25"/>
  <c r="G23" i="25"/>
  <c r="G22" i="25"/>
  <c r="G21" i="25"/>
  <c r="G20" i="25"/>
  <c r="G19" i="25"/>
  <c r="G18" i="25"/>
  <c r="G17" i="25"/>
  <c r="G16" i="25"/>
  <c r="G15" i="25"/>
  <c r="G14" i="25"/>
  <c r="G13" i="25"/>
  <c r="G12" i="25"/>
  <c r="G88" i="25" l="1"/>
  <c r="J72" i="22"/>
  <c r="G81" i="24"/>
  <c r="G79" i="24"/>
  <c r="G77" i="24"/>
  <c r="G75" i="24"/>
  <c r="G74" i="24"/>
  <c r="G73" i="24"/>
  <c r="G71" i="24"/>
  <c r="G70" i="24"/>
  <c r="G69" i="24"/>
  <c r="G68" i="24"/>
  <c r="G66" i="24"/>
  <c r="G65" i="24"/>
  <c r="G64" i="24"/>
  <c r="G63" i="24"/>
  <c r="G62" i="24"/>
  <c r="G61" i="24"/>
  <c r="G60" i="24"/>
  <c r="G59" i="24"/>
  <c r="G58" i="24"/>
  <c r="G57" i="24"/>
  <c r="G56" i="24"/>
  <c r="G55" i="24"/>
  <c r="G54" i="24"/>
  <c r="G53" i="24"/>
  <c r="G52" i="24"/>
  <c r="G51" i="24"/>
  <c r="G50" i="24"/>
  <c r="G49" i="24"/>
  <c r="G48" i="24"/>
  <c r="G47" i="24"/>
  <c r="G46" i="24"/>
  <c r="G45" i="24"/>
  <c r="G44" i="24"/>
  <c r="G43" i="24"/>
  <c r="G42" i="24"/>
  <c r="G41" i="24"/>
  <c r="G40" i="24"/>
  <c r="G39" i="24"/>
  <c r="G38" i="24"/>
  <c r="G37" i="24"/>
  <c r="G36" i="24"/>
  <c r="G35" i="24"/>
  <c r="G34" i="24"/>
  <c r="G33" i="24"/>
  <c r="G32" i="24"/>
  <c r="G31" i="24"/>
  <c r="A31" i="24"/>
  <c r="A32" i="24" s="1"/>
  <c r="A33" i="24" s="1"/>
  <c r="A34" i="24" s="1"/>
  <c r="A35" i="24" s="1"/>
  <c r="A36" i="24" s="1"/>
  <c r="A37" i="24" s="1"/>
  <c r="A38" i="24" s="1"/>
  <c r="A39" i="24" s="1"/>
  <c r="A40" i="24" s="1"/>
  <c r="A41" i="24" s="1"/>
  <c r="A42" i="24" s="1"/>
  <c r="A43" i="24" s="1"/>
  <c r="A44" i="24" s="1"/>
  <c r="A45" i="24" s="1"/>
  <c r="A46" i="24" s="1"/>
  <c r="A47" i="24" s="1"/>
  <c r="A48" i="24" s="1"/>
  <c r="A49" i="24" s="1"/>
  <c r="A50" i="24" s="1"/>
  <c r="A51" i="24" s="1"/>
  <c r="A52" i="24" s="1"/>
  <c r="A53" i="24" s="1"/>
  <c r="A54" i="24" s="1"/>
  <c r="A55" i="24" s="1"/>
  <c r="A56" i="24" s="1"/>
  <c r="A57" i="24" s="1"/>
  <c r="A58" i="24" s="1"/>
  <c r="A59" i="24" s="1"/>
  <c r="A60" i="24" s="1"/>
  <c r="A61" i="24" s="1"/>
  <c r="A62" i="24" s="1"/>
  <c r="A63" i="24" s="1"/>
  <c r="A64" i="24" s="1"/>
  <c r="A65" i="24" s="1"/>
  <c r="A66" i="24" s="1"/>
  <c r="G30" i="24"/>
  <c r="G28" i="24"/>
  <c r="G27" i="24"/>
  <c r="G26" i="24"/>
  <c r="G25" i="24"/>
  <c r="G24" i="24"/>
  <c r="G23" i="24"/>
  <c r="G22" i="24"/>
  <c r="G21" i="24"/>
  <c r="G20" i="24"/>
  <c r="G19" i="24"/>
  <c r="G18" i="24"/>
  <c r="G17" i="24"/>
  <c r="G16" i="24"/>
  <c r="G15" i="24"/>
  <c r="G14" i="24"/>
  <c r="G13" i="24"/>
  <c r="G12" i="24"/>
  <c r="G82" i="24" l="1"/>
  <c r="I21" i="22" l="1"/>
  <c r="M21" i="22" l="1"/>
  <c r="O21" i="22" s="1"/>
  <c r="O74" i="22"/>
  <c r="I73" i="22" l="1"/>
  <c r="R73" i="22" s="1"/>
  <c r="F71" i="22" l="1"/>
  <c r="I70" i="22"/>
  <c r="I68" i="22"/>
  <c r="F67" i="22"/>
  <c r="F66" i="22"/>
  <c r="F65" i="22"/>
  <c r="I64" i="22"/>
  <c r="R63" i="22"/>
  <c r="S63" i="22" s="1"/>
  <c r="F63" i="22"/>
  <c r="F61" i="22"/>
  <c r="I59" i="22"/>
  <c r="F58" i="22"/>
  <c r="F57" i="22"/>
  <c r="F56" i="22"/>
  <c r="F55" i="22"/>
  <c r="F54" i="22"/>
  <c r="F53" i="22"/>
  <c r="F51" i="22"/>
  <c r="F49" i="22"/>
  <c r="F47" i="22"/>
  <c r="F46" i="22"/>
  <c r="F45" i="22"/>
  <c r="F44" i="22"/>
  <c r="F43" i="22"/>
  <c r="F42" i="22"/>
  <c r="F41" i="22"/>
  <c r="F40" i="22"/>
  <c r="F39" i="22"/>
  <c r="F38" i="22"/>
  <c r="F37" i="22"/>
  <c r="F36" i="22"/>
  <c r="F35" i="22"/>
  <c r="F34" i="22"/>
  <c r="F33" i="22"/>
  <c r="F32" i="22"/>
  <c r="F31" i="22"/>
  <c r="F30" i="22"/>
  <c r="F29" i="22"/>
  <c r="F28" i="22"/>
  <c r="F27" i="22"/>
  <c r="F26" i="22"/>
  <c r="F25" i="22"/>
  <c r="F24" i="22"/>
  <c r="F23" i="22"/>
  <c r="A23" i="22"/>
  <c r="A24" i="22" s="1"/>
  <c r="A25" i="22" s="1"/>
  <c r="A26" i="22" s="1"/>
  <c r="A27" i="22" s="1"/>
  <c r="A28" i="22" s="1"/>
  <c r="A29" i="22" s="1"/>
  <c r="A30" i="22" s="1"/>
  <c r="A31" i="22" s="1"/>
  <c r="A32" i="22" s="1"/>
  <c r="A33" i="22" s="1"/>
  <c r="A34" i="22" s="1"/>
  <c r="A35" i="22" s="1"/>
  <c r="A36" i="22" s="1"/>
  <c r="A37" i="22" s="1"/>
  <c r="A38" i="22" s="1"/>
  <c r="A39" i="22" s="1"/>
  <c r="A40" i="22" s="1"/>
  <c r="A41" i="22" s="1"/>
  <c r="A42" i="22" s="1"/>
  <c r="A43" i="22" s="1"/>
  <c r="A44" i="22" s="1"/>
  <c r="A45" i="22" s="1"/>
  <c r="A46" i="22" s="1"/>
  <c r="A47" i="22" s="1"/>
  <c r="A48" i="22" s="1"/>
  <c r="A49" i="22" s="1"/>
  <c r="A50" i="22" s="1"/>
  <c r="A51" i="22" s="1"/>
  <c r="A52" i="22" s="1"/>
  <c r="A53" i="22" s="1"/>
  <c r="A54" i="22" s="1"/>
  <c r="A55" i="22" s="1"/>
  <c r="A56" i="22" s="1"/>
  <c r="A57" i="22" s="1"/>
  <c r="F22" i="22"/>
  <c r="M20" i="22"/>
  <c r="O20" i="22" s="1"/>
  <c r="F20" i="22"/>
  <c r="M19" i="22"/>
  <c r="O19" i="22" s="1"/>
  <c r="F19" i="22"/>
  <c r="M18" i="22"/>
  <c r="O18" i="22" s="1"/>
  <c r="F18" i="22"/>
  <c r="M17" i="22"/>
  <c r="O17" i="22" s="1"/>
  <c r="F17" i="22"/>
  <c r="M16" i="22"/>
  <c r="O16" i="22" s="1"/>
  <c r="F16" i="22"/>
  <c r="M15" i="22"/>
  <c r="O15" i="22" s="1"/>
  <c r="F15" i="22"/>
  <c r="M14" i="22"/>
  <c r="O14" i="22" s="1"/>
  <c r="F14" i="22"/>
  <c r="M13" i="22"/>
  <c r="O13" i="22" s="1"/>
  <c r="F13" i="22"/>
  <c r="F12" i="22"/>
  <c r="J12" i="19"/>
  <c r="I12" i="19"/>
  <c r="K13" i="15"/>
  <c r="K14" i="15"/>
  <c r="K15" i="15"/>
  <c r="K16" i="15"/>
  <c r="K17" i="15"/>
  <c r="K18" i="15"/>
  <c r="K19" i="15"/>
  <c r="K20" i="15"/>
  <c r="K21" i="15"/>
  <c r="K22" i="15"/>
  <c r="K23" i="15"/>
  <c r="K24" i="15"/>
  <c r="K25" i="15"/>
  <c r="K26" i="15"/>
  <c r="K27" i="15"/>
  <c r="K28" i="15"/>
  <c r="K29" i="15"/>
  <c r="K30" i="15"/>
  <c r="K31" i="15"/>
  <c r="K32" i="15"/>
  <c r="K33" i="15"/>
  <c r="K34" i="15"/>
  <c r="K35" i="15"/>
  <c r="K36" i="15"/>
  <c r="K37" i="15"/>
  <c r="K38" i="15"/>
  <c r="K39" i="15"/>
  <c r="K40" i="15"/>
  <c r="K41" i="15"/>
  <c r="K42" i="15"/>
  <c r="K43" i="15"/>
  <c r="K44" i="15"/>
  <c r="K45" i="15"/>
  <c r="K46" i="15"/>
  <c r="K47" i="15"/>
  <c r="K48" i="15"/>
  <c r="K49" i="15"/>
  <c r="K50" i="15"/>
  <c r="K51" i="15"/>
  <c r="K52" i="15"/>
  <c r="K53" i="15"/>
  <c r="K54" i="15"/>
  <c r="K55" i="15"/>
  <c r="K56" i="15"/>
  <c r="K57" i="15"/>
  <c r="K58" i="15"/>
  <c r="K59" i="15"/>
  <c r="K60" i="15"/>
  <c r="K61" i="15"/>
  <c r="K62" i="15"/>
  <c r="K63" i="15"/>
  <c r="K64" i="15"/>
  <c r="K65" i="15"/>
  <c r="K66" i="15"/>
  <c r="K67" i="15"/>
  <c r="K68" i="15"/>
  <c r="K69" i="15"/>
  <c r="K70" i="15"/>
  <c r="K71" i="15"/>
  <c r="K72" i="15"/>
  <c r="K73" i="15"/>
  <c r="K74" i="15"/>
  <c r="K75" i="15"/>
  <c r="K76" i="15"/>
  <c r="K77" i="15"/>
  <c r="K78" i="15"/>
  <c r="K79" i="15"/>
  <c r="K80" i="15"/>
  <c r="K81" i="15"/>
  <c r="K82" i="15"/>
  <c r="K83" i="15"/>
  <c r="K84" i="15"/>
  <c r="K85" i="15"/>
  <c r="K86" i="15"/>
  <c r="K87" i="15"/>
  <c r="K12" i="15"/>
  <c r="J13" i="19"/>
  <c r="J14" i="19"/>
  <c r="J15" i="19"/>
  <c r="J16" i="19"/>
  <c r="J17" i="19"/>
  <c r="J18" i="19"/>
  <c r="J19" i="19"/>
  <c r="J20" i="19"/>
  <c r="J21" i="19"/>
  <c r="J22" i="19"/>
  <c r="J23" i="19"/>
  <c r="J24" i="19"/>
  <c r="J25" i="19"/>
  <c r="J26" i="19"/>
  <c r="J27" i="19"/>
  <c r="J28" i="19"/>
  <c r="J29" i="19"/>
  <c r="J30" i="19"/>
  <c r="J31" i="19"/>
  <c r="J32" i="19"/>
  <c r="J33" i="19"/>
  <c r="J34" i="19"/>
  <c r="J35" i="19"/>
  <c r="J36" i="19"/>
  <c r="J37" i="19"/>
  <c r="J38" i="19"/>
  <c r="J39" i="19"/>
  <c r="J40" i="19"/>
  <c r="J41" i="19"/>
  <c r="J42" i="19"/>
  <c r="J43" i="19"/>
  <c r="J44" i="19"/>
  <c r="J45" i="19"/>
  <c r="J46" i="19"/>
  <c r="J47" i="19"/>
  <c r="J48" i="19"/>
  <c r="J49" i="19"/>
  <c r="J50" i="19"/>
  <c r="J51" i="19"/>
  <c r="J52" i="19"/>
  <c r="J53" i="19"/>
  <c r="J54" i="19"/>
  <c r="J55" i="19"/>
  <c r="J56" i="19"/>
  <c r="J57" i="19"/>
  <c r="J58" i="19"/>
  <c r="J59" i="19"/>
  <c r="J60" i="19"/>
  <c r="J61" i="19"/>
  <c r="J62" i="19"/>
  <c r="J63" i="19"/>
  <c r="J64" i="19"/>
  <c r="J65" i="19"/>
  <c r="J66" i="19"/>
  <c r="J67" i="19"/>
  <c r="J68" i="19"/>
  <c r="J69" i="19"/>
  <c r="J70" i="19"/>
  <c r="J71" i="19"/>
  <c r="J72" i="19"/>
  <c r="J73" i="19"/>
  <c r="J74" i="19"/>
  <c r="J75" i="19"/>
  <c r="J76" i="19"/>
  <c r="J77" i="19"/>
  <c r="J78" i="19"/>
  <c r="J79" i="19"/>
  <c r="J80" i="19"/>
  <c r="J81" i="19"/>
  <c r="J82" i="19"/>
  <c r="J83" i="19"/>
  <c r="J84" i="19"/>
  <c r="J85" i="19"/>
  <c r="J86" i="19"/>
  <c r="J87" i="19"/>
  <c r="G87" i="21"/>
  <c r="G85" i="21"/>
  <c r="G81" i="21"/>
  <c r="G80" i="21"/>
  <c r="G79" i="21"/>
  <c r="G77" i="21"/>
  <c r="G76" i="21"/>
  <c r="G75" i="21"/>
  <c r="G74" i="21"/>
  <c r="G73" i="21"/>
  <c r="G72" i="21"/>
  <c r="G71" i="21"/>
  <c r="G70" i="21"/>
  <c r="G69" i="21"/>
  <c r="G67" i="21"/>
  <c r="G66" i="21"/>
  <c r="G65" i="21"/>
  <c r="G64" i="21"/>
  <c r="G63" i="21"/>
  <c r="G62" i="21"/>
  <c r="G61" i="21"/>
  <c r="G60" i="21"/>
  <c r="G59" i="21"/>
  <c r="G58" i="21"/>
  <c r="G57" i="21"/>
  <c r="G56" i="21"/>
  <c r="G55" i="21"/>
  <c r="G54" i="21"/>
  <c r="G53" i="21"/>
  <c r="G52" i="21"/>
  <c r="G51" i="21"/>
  <c r="G50" i="21"/>
  <c r="G49" i="21"/>
  <c r="G48" i="21"/>
  <c r="G47" i="21"/>
  <c r="G46" i="21"/>
  <c r="G45" i="21"/>
  <c r="G44" i="21"/>
  <c r="G43" i="21"/>
  <c r="G42" i="21"/>
  <c r="G41" i="21"/>
  <c r="G40" i="21"/>
  <c r="G39" i="21"/>
  <c r="G38" i="21"/>
  <c r="G37" i="21"/>
  <c r="G36" i="21"/>
  <c r="G35" i="21"/>
  <c r="G34" i="21"/>
  <c r="G33" i="21"/>
  <c r="G32" i="21"/>
  <c r="A32" i="21"/>
  <c r="A33" i="21" s="1"/>
  <c r="A34" i="21" s="1"/>
  <c r="A35" i="21" s="1"/>
  <c r="A36" i="21" s="1"/>
  <c r="A37" i="21" s="1"/>
  <c r="A38" i="21" s="1"/>
  <c r="A39" i="21" s="1"/>
  <c r="A40" i="21" s="1"/>
  <c r="A41" i="21" s="1"/>
  <c r="A42" i="21" s="1"/>
  <c r="A43" i="21" s="1"/>
  <c r="A44" i="21" s="1"/>
  <c r="A45" i="21" s="1"/>
  <c r="A46" i="21" s="1"/>
  <c r="A47" i="21" s="1"/>
  <c r="A48" i="21" s="1"/>
  <c r="A49" i="21" s="1"/>
  <c r="A50" i="21" s="1"/>
  <c r="A51" i="21" s="1"/>
  <c r="A52" i="21" s="1"/>
  <c r="A53" i="21" s="1"/>
  <c r="A54" i="21" s="1"/>
  <c r="A55" i="21" s="1"/>
  <c r="A56" i="21" s="1"/>
  <c r="A57" i="21" s="1"/>
  <c r="A58" i="21" s="1"/>
  <c r="A59" i="21" s="1"/>
  <c r="A60" i="21" s="1"/>
  <c r="A61" i="21" s="1"/>
  <c r="A62" i="21" s="1"/>
  <c r="A63" i="21" s="1"/>
  <c r="A64" i="21" s="1"/>
  <c r="A65" i="21" s="1"/>
  <c r="A66" i="21" s="1"/>
  <c r="A67" i="21" s="1"/>
  <c r="G31" i="21"/>
  <c r="G29" i="21"/>
  <c r="G28" i="21"/>
  <c r="G27" i="21"/>
  <c r="G26" i="21"/>
  <c r="G25" i="21"/>
  <c r="G24" i="21"/>
  <c r="G23" i="21"/>
  <c r="G22" i="21"/>
  <c r="G21" i="21"/>
  <c r="G20" i="21"/>
  <c r="G19" i="21"/>
  <c r="G18" i="21"/>
  <c r="G17" i="21"/>
  <c r="G16" i="21"/>
  <c r="G15" i="21"/>
  <c r="G14" i="21"/>
  <c r="G13" i="21"/>
  <c r="G12" i="21"/>
  <c r="I72" i="22" l="1"/>
  <c r="M32" i="22"/>
  <c r="O32" i="22" s="1"/>
  <c r="R32" i="22"/>
  <c r="S32" i="22" s="1"/>
  <c r="M71" i="22"/>
  <c r="O71" i="22" s="1"/>
  <c r="R71" i="22"/>
  <c r="S71" i="22" s="1"/>
  <c r="M52" i="22"/>
  <c r="O52" i="22" s="1"/>
  <c r="R52" i="22"/>
  <c r="S52" i="22" s="1"/>
  <c r="M26" i="22"/>
  <c r="O26" i="22" s="1"/>
  <c r="R26" i="22"/>
  <c r="S26" i="22" s="1"/>
  <c r="M30" i="22"/>
  <c r="O30" i="22" s="1"/>
  <c r="R30" i="22"/>
  <c r="S30" i="22" s="1"/>
  <c r="M34" i="22"/>
  <c r="O34" i="22" s="1"/>
  <c r="R34" i="22"/>
  <c r="S34" i="22" s="1"/>
  <c r="M38" i="22"/>
  <c r="O38" i="22" s="1"/>
  <c r="R38" i="22"/>
  <c r="S38" i="22" s="1"/>
  <c r="M42" i="22"/>
  <c r="O42" i="22" s="1"/>
  <c r="R42" i="22"/>
  <c r="S42" i="22" s="1"/>
  <c r="M46" i="22"/>
  <c r="O46" i="22" s="1"/>
  <c r="R46" i="22"/>
  <c r="S46" i="22" s="1"/>
  <c r="M51" i="22"/>
  <c r="O51" i="22" s="1"/>
  <c r="R51" i="22"/>
  <c r="S51" i="22" s="1"/>
  <c r="M60" i="22"/>
  <c r="O60" i="22" s="1"/>
  <c r="R60" i="22"/>
  <c r="S60" i="22" s="1"/>
  <c r="M69" i="22"/>
  <c r="O69" i="22" s="1"/>
  <c r="R69" i="22"/>
  <c r="S69" i="22" s="1"/>
  <c r="M24" i="22"/>
  <c r="O24" i="22" s="1"/>
  <c r="R24" i="22"/>
  <c r="S24" i="22" s="1"/>
  <c r="M44" i="22"/>
  <c r="O44" i="22" s="1"/>
  <c r="R44" i="22"/>
  <c r="S44" i="22" s="1"/>
  <c r="M66" i="22"/>
  <c r="O66" i="22" s="1"/>
  <c r="R66" i="22"/>
  <c r="S66" i="22" s="1"/>
  <c r="M23" i="22"/>
  <c r="O23" i="22" s="1"/>
  <c r="R23" i="22"/>
  <c r="S23" i="22" s="1"/>
  <c r="M31" i="22"/>
  <c r="O31" i="22" s="1"/>
  <c r="R31" i="22"/>
  <c r="S31" i="22" s="1"/>
  <c r="M43" i="22"/>
  <c r="O43" i="22" s="1"/>
  <c r="R43" i="22"/>
  <c r="S43" i="22" s="1"/>
  <c r="M61" i="22"/>
  <c r="O61" i="22" s="1"/>
  <c r="R61" i="22"/>
  <c r="S61" i="22" s="1"/>
  <c r="M65" i="22"/>
  <c r="O65" i="22" s="1"/>
  <c r="R65" i="22"/>
  <c r="S65" i="22" s="1"/>
  <c r="M22" i="22"/>
  <c r="O22" i="22" s="1"/>
  <c r="R22" i="22"/>
  <c r="M36" i="22"/>
  <c r="O36" i="22" s="1"/>
  <c r="R36" i="22"/>
  <c r="S36" i="22" s="1"/>
  <c r="M48" i="22"/>
  <c r="O48" i="22" s="1"/>
  <c r="R48" i="22"/>
  <c r="S48" i="22" s="1"/>
  <c r="M39" i="22"/>
  <c r="O39" i="22" s="1"/>
  <c r="R39" i="22"/>
  <c r="S39" i="22" s="1"/>
  <c r="M25" i="22"/>
  <c r="O25" i="22" s="1"/>
  <c r="R25" i="22"/>
  <c r="S25" i="22" s="1"/>
  <c r="M29" i="22"/>
  <c r="O29" i="22" s="1"/>
  <c r="R29" i="22"/>
  <c r="S29" i="22" s="1"/>
  <c r="M33" i="22"/>
  <c r="O33" i="22" s="1"/>
  <c r="R33" i="22"/>
  <c r="S33" i="22" s="1"/>
  <c r="M37" i="22"/>
  <c r="O37" i="22" s="1"/>
  <c r="R37" i="22"/>
  <c r="S37" i="22" s="1"/>
  <c r="M41" i="22"/>
  <c r="O41" i="22" s="1"/>
  <c r="R41" i="22"/>
  <c r="S41" i="22" s="1"/>
  <c r="M45" i="22"/>
  <c r="O45" i="22" s="1"/>
  <c r="R45" i="22"/>
  <c r="S45" i="22" s="1"/>
  <c r="M50" i="22"/>
  <c r="O50" i="22" s="1"/>
  <c r="R50" i="22"/>
  <c r="S50" i="22" s="1"/>
  <c r="M28" i="22"/>
  <c r="O28" i="22" s="1"/>
  <c r="R28" i="22"/>
  <c r="S28" i="22" s="1"/>
  <c r="M40" i="22"/>
  <c r="O40" i="22" s="1"/>
  <c r="R40" i="22"/>
  <c r="S40" i="22" s="1"/>
  <c r="M62" i="22"/>
  <c r="O62" i="22" s="1"/>
  <c r="R62" i="22"/>
  <c r="S62" i="22" s="1"/>
  <c r="M27" i="22"/>
  <c r="O27" i="22" s="1"/>
  <c r="R27" i="22"/>
  <c r="S27" i="22" s="1"/>
  <c r="M35" i="22"/>
  <c r="O35" i="22" s="1"/>
  <c r="R35" i="22"/>
  <c r="S35" i="22" s="1"/>
  <c r="M47" i="22"/>
  <c r="O47" i="22" s="1"/>
  <c r="R47" i="22"/>
  <c r="S47" i="22" s="1"/>
  <c r="M49" i="22"/>
  <c r="O49" i="22" s="1"/>
  <c r="R49" i="22"/>
  <c r="S49" i="22" s="1"/>
  <c r="M58" i="22"/>
  <c r="O58" i="22" s="1"/>
  <c r="R58" i="22"/>
  <c r="S58" i="22" s="1"/>
  <c r="M67" i="22"/>
  <c r="O67" i="22" s="1"/>
  <c r="R67" i="22"/>
  <c r="S67" i="22" s="1"/>
  <c r="M59" i="22"/>
  <c r="O59" i="22" s="1"/>
  <c r="M64" i="22"/>
  <c r="O64" i="22" s="1"/>
  <c r="M12" i="22"/>
  <c r="O12" i="22" s="1"/>
  <c r="M63" i="22"/>
  <c r="O63" i="22" s="1"/>
  <c r="N63" i="22"/>
  <c r="O53" i="22"/>
  <c r="O57" i="22"/>
  <c r="O55" i="22"/>
  <c r="M70" i="22"/>
  <c r="O70" i="22" s="1"/>
  <c r="O56" i="22"/>
  <c r="O54" i="22"/>
  <c r="M68" i="22"/>
  <c r="O68" i="22" s="1"/>
  <c r="N15" i="22"/>
  <c r="N31" i="22"/>
  <c r="N43" i="22"/>
  <c r="N47" i="22"/>
  <c r="N14" i="22"/>
  <c r="N26" i="22"/>
  <c r="N30" i="22"/>
  <c r="N38" i="22"/>
  <c r="N42" i="22"/>
  <c r="N51" i="22"/>
  <c r="N69" i="22"/>
  <c r="N13" i="22"/>
  <c r="N17" i="22"/>
  <c r="N25" i="22"/>
  <c r="N29" i="22"/>
  <c r="N33" i="22"/>
  <c r="N37" i="22"/>
  <c r="N41" i="22"/>
  <c r="N45" i="22"/>
  <c r="N50" i="22"/>
  <c r="N16" i="22"/>
  <c r="N20" i="22"/>
  <c r="N49" i="22"/>
  <c r="N58" i="22"/>
  <c r="N67" i="22"/>
  <c r="N24" i="22"/>
  <c r="N28" i="22"/>
  <c r="N32" i="22"/>
  <c r="N36" i="22"/>
  <c r="N40" i="22"/>
  <c r="N44" i="22"/>
  <c r="N71" i="22"/>
  <c r="N19" i="22"/>
  <c r="N48" i="22"/>
  <c r="N66" i="22"/>
  <c r="N23" i="22"/>
  <c r="N39" i="22"/>
  <c r="N61" i="22"/>
  <c r="N65" i="22"/>
  <c r="N34" i="22"/>
  <c r="N22" i="22"/>
  <c r="N62" i="22"/>
  <c r="N35" i="22"/>
  <c r="N18" i="22"/>
  <c r="N52" i="22"/>
  <c r="N46" i="22"/>
  <c r="N27" i="22"/>
  <c r="N60" i="22"/>
  <c r="F20" i="14"/>
  <c r="H20" i="19" s="1"/>
  <c r="F19" i="14"/>
  <c r="H19" i="19" s="1"/>
  <c r="F18" i="14"/>
  <c r="H18" i="19" s="1"/>
  <c r="H12" i="19"/>
  <c r="H13" i="19"/>
  <c r="H14" i="19"/>
  <c r="H15" i="19"/>
  <c r="H16" i="19"/>
  <c r="H17" i="19"/>
  <c r="H21" i="19"/>
  <c r="H23" i="19"/>
  <c r="H24" i="19"/>
  <c r="H25" i="19"/>
  <c r="H26" i="19"/>
  <c r="H27" i="19"/>
  <c r="H28" i="19"/>
  <c r="H29" i="19"/>
  <c r="H30" i="19"/>
  <c r="H31" i="19"/>
  <c r="H32" i="19"/>
  <c r="H33" i="19"/>
  <c r="H34" i="19"/>
  <c r="H35" i="19"/>
  <c r="H36" i="19"/>
  <c r="H37" i="19"/>
  <c r="H38" i="19"/>
  <c r="H39" i="19"/>
  <c r="H40" i="19"/>
  <c r="H41" i="19"/>
  <c r="H42" i="19"/>
  <c r="H43" i="19"/>
  <c r="H44" i="19"/>
  <c r="H45" i="19"/>
  <c r="H46" i="19"/>
  <c r="H47" i="19"/>
  <c r="H48" i="19"/>
  <c r="H49" i="19"/>
  <c r="H50" i="19"/>
  <c r="H51" i="19"/>
  <c r="H52" i="19"/>
  <c r="H53" i="19"/>
  <c r="H54" i="19"/>
  <c r="H55" i="19"/>
  <c r="H56" i="19"/>
  <c r="H57" i="19"/>
  <c r="H58" i="19"/>
  <c r="H59" i="19"/>
  <c r="H60" i="19"/>
  <c r="H61" i="19"/>
  <c r="H62" i="19"/>
  <c r="H63" i="19"/>
  <c r="H64" i="19"/>
  <c r="H65" i="19"/>
  <c r="H66" i="19"/>
  <c r="H67" i="19"/>
  <c r="H68" i="19"/>
  <c r="H69" i="19"/>
  <c r="H70" i="19"/>
  <c r="H71" i="19"/>
  <c r="H72" i="19"/>
  <c r="H73" i="19"/>
  <c r="H74" i="19"/>
  <c r="H75" i="19"/>
  <c r="H76" i="19"/>
  <c r="H77" i="19"/>
  <c r="H78" i="19"/>
  <c r="H79" i="19"/>
  <c r="H80" i="19"/>
  <c r="H81" i="19"/>
  <c r="H82" i="19"/>
  <c r="H83" i="19"/>
  <c r="H84" i="19"/>
  <c r="H85" i="19"/>
  <c r="H86" i="19"/>
  <c r="H87" i="19"/>
  <c r="I87" i="19"/>
  <c r="G87" i="19"/>
  <c r="F87" i="19"/>
  <c r="I86" i="19"/>
  <c r="G86" i="19"/>
  <c r="I85" i="19"/>
  <c r="G85" i="19"/>
  <c r="I84" i="19"/>
  <c r="G84" i="19"/>
  <c r="I83" i="19"/>
  <c r="G83" i="19"/>
  <c r="I82" i="19"/>
  <c r="G82" i="19"/>
  <c r="I81" i="19"/>
  <c r="G81" i="19"/>
  <c r="F81" i="19"/>
  <c r="I80" i="19"/>
  <c r="G80" i="19"/>
  <c r="F80" i="19"/>
  <c r="I79" i="19"/>
  <c r="G79" i="19"/>
  <c r="F79" i="19"/>
  <c r="I78" i="19"/>
  <c r="G78" i="19"/>
  <c r="I77" i="19"/>
  <c r="G77" i="19"/>
  <c r="F77" i="19"/>
  <c r="I76" i="19"/>
  <c r="G76" i="19"/>
  <c r="F76" i="19"/>
  <c r="I75" i="19"/>
  <c r="G75" i="19"/>
  <c r="F75" i="19"/>
  <c r="I74" i="19"/>
  <c r="G74" i="19"/>
  <c r="F74" i="19"/>
  <c r="I73" i="19"/>
  <c r="G73" i="19"/>
  <c r="I72" i="19"/>
  <c r="G72" i="19"/>
  <c r="F72" i="19"/>
  <c r="I71" i="19"/>
  <c r="G71" i="19"/>
  <c r="I70" i="19"/>
  <c r="G70" i="19"/>
  <c r="F70" i="19"/>
  <c r="I69" i="19"/>
  <c r="G69" i="19"/>
  <c r="I68" i="19"/>
  <c r="G68" i="19"/>
  <c r="I67" i="19"/>
  <c r="G67" i="19"/>
  <c r="F67" i="19"/>
  <c r="I66" i="19"/>
  <c r="G66" i="19"/>
  <c r="F66" i="19"/>
  <c r="I65" i="19"/>
  <c r="G65" i="19"/>
  <c r="F65" i="19"/>
  <c r="I64" i="19"/>
  <c r="G64" i="19"/>
  <c r="F64" i="19"/>
  <c r="I63" i="19"/>
  <c r="G63" i="19"/>
  <c r="F63" i="19"/>
  <c r="I62" i="19"/>
  <c r="G62" i="19"/>
  <c r="F62" i="19"/>
  <c r="I61" i="19"/>
  <c r="G61" i="19"/>
  <c r="I60" i="19"/>
  <c r="G60" i="19"/>
  <c r="F60" i="19"/>
  <c r="I59" i="19"/>
  <c r="G59" i="19"/>
  <c r="I58" i="19"/>
  <c r="G58" i="19"/>
  <c r="F58" i="19"/>
  <c r="I57" i="19"/>
  <c r="G57" i="19"/>
  <c r="I56" i="19"/>
  <c r="G56" i="19"/>
  <c r="F56" i="19"/>
  <c r="I55" i="19"/>
  <c r="G55" i="19"/>
  <c r="F55" i="19"/>
  <c r="I54" i="19"/>
  <c r="G54" i="19"/>
  <c r="F54" i="19"/>
  <c r="I53" i="19"/>
  <c r="G53" i="19"/>
  <c r="F53" i="19"/>
  <c r="I52" i="19"/>
  <c r="G52" i="19"/>
  <c r="F52" i="19"/>
  <c r="I51" i="19"/>
  <c r="G51" i="19"/>
  <c r="F51" i="19"/>
  <c r="I50" i="19"/>
  <c r="G50" i="19"/>
  <c r="F50" i="19"/>
  <c r="I49" i="19"/>
  <c r="G49" i="19"/>
  <c r="F49" i="19"/>
  <c r="I48" i="19"/>
  <c r="G48" i="19"/>
  <c r="F48" i="19"/>
  <c r="I47" i="19"/>
  <c r="G47" i="19"/>
  <c r="F47" i="19"/>
  <c r="I46" i="19"/>
  <c r="G46" i="19"/>
  <c r="F46" i="19"/>
  <c r="I45" i="19"/>
  <c r="G45" i="19"/>
  <c r="F45" i="19"/>
  <c r="I44" i="19"/>
  <c r="G44" i="19"/>
  <c r="F44" i="19"/>
  <c r="I43" i="19"/>
  <c r="G43" i="19"/>
  <c r="F43" i="19"/>
  <c r="I42" i="19"/>
  <c r="G42" i="19"/>
  <c r="F42" i="19"/>
  <c r="I41" i="19"/>
  <c r="G41" i="19"/>
  <c r="F41" i="19"/>
  <c r="I40" i="19"/>
  <c r="G40" i="19"/>
  <c r="F40" i="19"/>
  <c r="I39" i="19"/>
  <c r="G39" i="19"/>
  <c r="F39" i="19"/>
  <c r="I38" i="19"/>
  <c r="G38" i="19"/>
  <c r="F38" i="19"/>
  <c r="I37" i="19"/>
  <c r="G37" i="19"/>
  <c r="F37" i="19"/>
  <c r="I36" i="19"/>
  <c r="G36" i="19"/>
  <c r="F36" i="19"/>
  <c r="I35" i="19"/>
  <c r="G35" i="19"/>
  <c r="F35" i="19"/>
  <c r="I34" i="19"/>
  <c r="G34" i="19"/>
  <c r="F34" i="19"/>
  <c r="I33" i="19"/>
  <c r="G33" i="19"/>
  <c r="F33" i="19"/>
  <c r="I32" i="19"/>
  <c r="G32" i="19"/>
  <c r="F32" i="19"/>
  <c r="A32" i="19"/>
  <c r="A33" i="19" s="1"/>
  <c r="A34" i="19" s="1"/>
  <c r="A35" i="19" s="1"/>
  <c r="A36" i="19" s="1"/>
  <c r="A37" i="19" s="1"/>
  <c r="A38" i="19" s="1"/>
  <c r="A39" i="19" s="1"/>
  <c r="A40" i="19" s="1"/>
  <c r="A41" i="19" s="1"/>
  <c r="A42" i="19" s="1"/>
  <c r="A43" i="19" s="1"/>
  <c r="A44" i="19" s="1"/>
  <c r="A45" i="19" s="1"/>
  <c r="A46" i="19" s="1"/>
  <c r="A47" i="19" s="1"/>
  <c r="A48" i="19" s="1"/>
  <c r="A49" i="19" s="1"/>
  <c r="A50" i="19" s="1"/>
  <c r="A51" i="19" s="1"/>
  <c r="A52" i="19" s="1"/>
  <c r="A53" i="19" s="1"/>
  <c r="A54" i="19" s="1"/>
  <c r="A55" i="19" s="1"/>
  <c r="A56" i="19" s="1"/>
  <c r="A57" i="19" s="1"/>
  <c r="A58" i="19" s="1"/>
  <c r="A59" i="19" s="1"/>
  <c r="A60" i="19" s="1"/>
  <c r="A61" i="19" s="1"/>
  <c r="A62" i="19" s="1"/>
  <c r="A63" i="19" s="1"/>
  <c r="A64" i="19" s="1"/>
  <c r="A65" i="19" s="1"/>
  <c r="A66" i="19" s="1"/>
  <c r="A67" i="19" s="1"/>
  <c r="I31" i="19"/>
  <c r="G31" i="19"/>
  <c r="F31" i="19"/>
  <c r="I30" i="19"/>
  <c r="G30" i="19"/>
  <c r="I29" i="19"/>
  <c r="G29" i="19"/>
  <c r="F29" i="19"/>
  <c r="I28" i="19"/>
  <c r="G28" i="19"/>
  <c r="F28" i="19"/>
  <c r="I27" i="19"/>
  <c r="G27" i="19"/>
  <c r="F27" i="19"/>
  <c r="I26" i="19"/>
  <c r="G26" i="19"/>
  <c r="F26" i="19"/>
  <c r="I25" i="19"/>
  <c r="G25" i="19"/>
  <c r="F25" i="19"/>
  <c r="I24" i="19"/>
  <c r="G24" i="19"/>
  <c r="F24" i="19"/>
  <c r="I23" i="19"/>
  <c r="G23" i="19"/>
  <c r="F23" i="19"/>
  <c r="I22" i="19"/>
  <c r="G22" i="19"/>
  <c r="F22" i="19"/>
  <c r="I21" i="19"/>
  <c r="G21" i="19"/>
  <c r="F21" i="19"/>
  <c r="I20" i="19"/>
  <c r="G20" i="19"/>
  <c r="F20" i="19"/>
  <c r="I19" i="19"/>
  <c r="G19" i="19"/>
  <c r="F19" i="19"/>
  <c r="I18" i="19"/>
  <c r="G18" i="19"/>
  <c r="F18" i="19"/>
  <c r="I17" i="19"/>
  <c r="G17" i="19"/>
  <c r="F17" i="19"/>
  <c r="I16" i="19"/>
  <c r="G16" i="19"/>
  <c r="F16" i="19"/>
  <c r="I15" i="19"/>
  <c r="G15" i="19"/>
  <c r="F15" i="19"/>
  <c r="I14" i="19"/>
  <c r="G14" i="19"/>
  <c r="F14" i="19"/>
  <c r="I13" i="19"/>
  <c r="G13" i="19"/>
  <c r="F13" i="19"/>
  <c r="J89" i="19"/>
  <c r="G12" i="19"/>
  <c r="F12" i="19"/>
  <c r="S22" i="22" l="1"/>
  <c r="S72" i="22" s="1"/>
  <c r="R72" i="22"/>
  <c r="O72" i="22"/>
  <c r="O75" i="22" s="1"/>
  <c r="O76" i="22" s="1"/>
  <c r="N72" i="22"/>
  <c r="N75" i="22" s="1"/>
  <c r="N76" i="22" s="1"/>
  <c r="N77" i="22" s="1"/>
  <c r="N78" i="22" s="1"/>
  <c r="I89" i="19"/>
  <c r="G89" i="19"/>
  <c r="K41" i="19"/>
  <c r="L41" i="19" s="1"/>
  <c r="K33" i="19"/>
  <c r="L33" i="19" s="1"/>
  <c r="K43" i="19"/>
  <c r="L43" i="19" s="1"/>
  <c r="K51" i="19"/>
  <c r="L51" i="19" s="1"/>
  <c r="K52" i="19"/>
  <c r="L52" i="19" s="1"/>
  <c r="K14" i="19"/>
  <c r="L14" i="19" s="1"/>
  <c r="K34" i="19"/>
  <c r="L34" i="19" s="1"/>
  <c r="K35" i="19"/>
  <c r="L35" i="19" s="1"/>
  <c r="K60" i="19"/>
  <c r="L60" i="19" s="1"/>
  <c r="K59" i="19"/>
  <c r="L59" i="19" s="1"/>
  <c r="K87" i="19"/>
  <c r="L87" i="19" s="1"/>
  <c r="K13" i="19"/>
  <c r="L13" i="19" s="1"/>
  <c r="K50" i="19"/>
  <c r="L50" i="19" s="1"/>
  <c r="K58" i="19"/>
  <c r="L58" i="19" s="1"/>
  <c r="K71" i="19"/>
  <c r="L71" i="19" s="1"/>
  <c r="K19" i="19"/>
  <c r="L19" i="19" s="1"/>
  <c r="K44" i="19"/>
  <c r="L44" i="19" s="1"/>
  <c r="K46" i="19"/>
  <c r="L46" i="19" s="1"/>
  <c r="K73" i="19"/>
  <c r="L73" i="19" s="1"/>
  <c r="K75" i="19"/>
  <c r="L75" i="19" s="1"/>
  <c r="K36" i="19"/>
  <c r="L36" i="19" s="1"/>
  <c r="K38" i="19"/>
  <c r="L38" i="19" s="1"/>
  <c r="K40" i="19"/>
  <c r="L40" i="19" s="1"/>
  <c r="K53" i="19"/>
  <c r="L53" i="19" s="1"/>
  <c r="K55" i="19"/>
  <c r="L55" i="19" s="1"/>
  <c r="K86" i="19"/>
  <c r="L86" i="19" s="1"/>
  <c r="K21" i="19"/>
  <c r="L21" i="19" s="1"/>
  <c r="K29" i="19"/>
  <c r="L29" i="19" s="1"/>
  <c r="K48" i="19"/>
  <c r="L48" i="19" s="1"/>
  <c r="K49" i="19"/>
  <c r="L49" i="19" s="1"/>
  <c r="K17" i="19"/>
  <c r="L17" i="19" s="1"/>
  <c r="K42" i="19"/>
  <c r="L42" i="19" s="1"/>
  <c r="K15" i="19"/>
  <c r="L15" i="19" s="1"/>
  <c r="K39" i="19"/>
  <c r="L39" i="19" s="1"/>
  <c r="K54" i="19"/>
  <c r="L54" i="19" s="1"/>
  <c r="K62" i="19"/>
  <c r="L62" i="19" s="1"/>
  <c r="K83" i="19"/>
  <c r="L83" i="19" s="1"/>
  <c r="K24" i="19"/>
  <c r="L24" i="19" s="1"/>
  <c r="K30" i="19"/>
  <c r="L30" i="19" s="1"/>
  <c r="K76" i="19"/>
  <c r="L76" i="19" s="1"/>
  <c r="K16" i="19"/>
  <c r="L16" i="19" s="1"/>
  <c r="K45" i="19"/>
  <c r="L45" i="19" s="1"/>
  <c r="K47" i="19"/>
  <c r="L47" i="19" s="1"/>
  <c r="K85" i="19"/>
  <c r="L85" i="19" s="1"/>
  <c r="K56" i="19"/>
  <c r="L56" i="19" s="1"/>
  <c r="K32" i="19"/>
  <c r="L32" i="19" s="1"/>
  <c r="K67" i="19"/>
  <c r="L67" i="19" s="1"/>
  <c r="K82" i="19"/>
  <c r="L82" i="19" s="1"/>
  <c r="K37" i="19"/>
  <c r="L37" i="19" s="1"/>
  <c r="K12" i="19"/>
  <c r="K23" i="19"/>
  <c r="L23" i="19" s="1"/>
  <c r="K31" i="19"/>
  <c r="L31" i="19" s="1"/>
  <c r="K69" i="19"/>
  <c r="L69" i="19" s="1"/>
  <c r="K77" i="19"/>
  <c r="L77" i="19" s="1"/>
  <c r="K70" i="19"/>
  <c r="L70" i="19" s="1"/>
  <c r="K20" i="19"/>
  <c r="L20" i="19" s="1"/>
  <c r="K25" i="19"/>
  <c r="L25" i="19" s="1"/>
  <c r="K65" i="19"/>
  <c r="L65" i="19" s="1"/>
  <c r="K80" i="19"/>
  <c r="L80" i="19" s="1"/>
  <c r="K18" i="19"/>
  <c r="L18" i="19" s="1"/>
  <c r="K57" i="19"/>
  <c r="L57" i="19" s="1"/>
  <c r="K63" i="19"/>
  <c r="L63" i="19" s="1"/>
  <c r="K68" i="19"/>
  <c r="L68" i="19" s="1"/>
  <c r="K74" i="19"/>
  <c r="L74" i="19" s="1"/>
  <c r="K78" i="19"/>
  <c r="L78" i="19" s="1"/>
  <c r="K26" i="19"/>
  <c r="L26" i="19" s="1"/>
  <c r="K66" i="19"/>
  <c r="L66" i="19" s="1"/>
  <c r="K72" i="19"/>
  <c r="L72" i="19" s="1"/>
  <c r="K81" i="19"/>
  <c r="L81" i="19" s="1"/>
  <c r="K84" i="19"/>
  <c r="L84" i="19" s="1"/>
  <c r="K28" i="19"/>
  <c r="L28" i="19" s="1"/>
  <c r="K61" i="19"/>
  <c r="L61" i="19" s="1"/>
  <c r="K64" i="19"/>
  <c r="L64" i="19" s="1"/>
  <c r="K79" i="19"/>
  <c r="L79" i="19" s="1"/>
  <c r="K27" i="19"/>
  <c r="L27" i="19" s="1"/>
  <c r="L12" i="19" l="1"/>
  <c r="I12" i="15"/>
  <c r="I13" i="15"/>
  <c r="I14" i="15"/>
  <c r="I15" i="15"/>
  <c r="I16" i="15"/>
  <c r="I17" i="15"/>
  <c r="I18" i="15"/>
  <c r="I19" i="15"/>
  <c r="I20" i="15"/>
  <c r="I21" i="15"/>
  <c r="I23" i="15"/>
  <c r="I24" i="15"/>
  <c r="I25" i="15"/>
  <c r="I26" i="15"/>
  <c r="I27" i="15"/>
  <c r="I28" i="15"/>
  <c r="I29" i="15"/>
  <c r="I30" i="15"/>
  <c r="I31" i="15"/>
  <c r="I32" i="15"/>
  <c r="I33" i="15"/>
  <c r="I34" i="15"/>
  <c r="I35" i="15"/>
  <c r="I36" i="15"/>
  <c r="I37" i="15"/>
  <c r="I38" i="15"/>
  <c r="I39" i="15"/>
  <c r="I40" i="15"/>
  <c r="I41" i="15"/>
  <c r="I42" i="15"/>
  <c r="I43" i="15"/>
  <c r="I44" i="15"/>
  <c r="I45" i="15"/>
  <c r="I46" i="15"/>
  <c r="I47" i="15"/>
  <c r="I48" i="15"/>
  <c r="I49" i="15"/>
  <c r="I50" i="15"/>
  <c r="I51" i="15"/>
  <c r="I52" i="15"/>
  <c r="I53" i="15"/>
  <c r="I54" i="15"/>
  <c r="I55" i="15"/>
  <c r="I56" i="15"/>
  <c r="I57" i="15"/>
  <c r="I58" i="15"/>
  <c r="I59" i="15"/>
  <c r="I60" i="15"/>
  <c r="I61" i="15"/>
  <c r="I62" i="15"/>
  <c r="I63" i="15"/>
  <c r="I64" i="15"/>
  <c r="I65" i="15"/>
  <c r="I66" i="15"/>
  <c r="I67" i="15"/>
  <c r="I68" i="15"/>
  <c r="I69" i="15"/>
  <c r="I70" i="15"/>
  <c r="I71" i="15"/>
  <c r="I72" i="15"/>
  <c r="I73" i="15"/>
  <c r="I74" i="15"/>
  <c r="I75" i="15"/>
  <c r="I76" i="15"/>
  <c r="I77" i="15"/>
  <c r="I78" i="15"/>
  <c r="I79" i="15"/>
  <c r="I80" i="15"/>
  <c r="I81" i="15"/>
  <c r="I82" i="15"/>
  <c r="I83" i="15"/>
  <c r="I84" i="15"/>
  <c r="I85" i="15"/>
  <c r="I86" i="15"/>
  <c r="I87" i="15"/>
  <c r="J44" i="15"/>
  <c r="J45" i="15"/>
  <c r="J46" i="15"/>
  <c r="J47" i="15"/>
  <c r="J48" i="15"/>
  <c r="J49" i="15"/>
  <c r="J50" i="15"/>
  <c r="J51" i="15"/>
  <c r="J52" i="15"/>
  <c r="J53" i="15"/>
  <c r="J54" i="15"/>
  <c r="J55" i="15"/>
  <c r="J56" i="15"/>
  <c r="J57" i="15"/>
  <c r="J58" i="15"/>
  <c r="J59" i="15"/>
  <c r="J60" i="15"/>
  <c r="J61" i="15"/>
  <c r="J62" i="15"/>
  <c r="J63" i="15"/>
  <c r="J64" i="15"/>
  <c r="J65" i="15"/>
  <c r="J66" i="15"/>
  <c r="J67" i="15"/>
  <c r="J68" i="15"/>
  <c r="J69" i="15"/>
  <c r="J70" i="15"/>
  <c r="J71" i="15"/>
  <c r="J72" i="15"/>
  <c r="J73" i="15"/>
  <c r="J74" i="15"/>
  <c r="J75" i="15"/>
  <c r="J76" i="15"/>
  <c r="J77" i="15"/>
  <c r="J78" i="15"/>
  <c r="J79" i="15"/>
  <c r="J80" i="15"/>
  <c r="J81" i="15"/>
  <c r="J82" i="15"/>
  <c r="J83" i="15"/>
  <c r="J84" i="15"/>
  <c r="J85" i="15"/>
  <c r="J86" i="15"/>
  <c r="J87" i="15"/>
  <c r="J13" i="15"/>
  <c r="J14" i="15"/>
  <c r="J15" i="15"/>
  <c r="J16" i="15"/>
  <c r="J17" i="15"/>
  <c r="J18" i="15"/>
  <c r="J19" i="15"/>
  <c r="J20" i="15"/>
  <c r="J21" i="15"/>
  <c r="J22" i="15"/>
  <c r="J23" i="15"/>
  <c r="J24" i="15"/>
  <c r="J25" i="15"/>
  <c r="J26" i="15"/>
  <c r="J27" i="15"/>
  <c r="J28" i="15"/>
  <c r="J29" i="15"/>
  <c r="J30" i="15"/>
  <c r="J31" i="15"/>
  <c r="J32" i="15"/>
  <c r="J33" i="15"/>
  <c r="J34" i="15"/>
  <c r="J35" i="15"/>
  <c r="J36" i="15"/>
  <c r="J37" i="15"/>
  <c r="J38" i="15"/>
  <c r="J39" i="15"/>
  <c r="J40" i="15"/>
  <c r="J41" i="15"/>
  <c r="J42" i="15"/>
  <c r="J43" i="15"/>
  <c r="J12" i="15"/>
  <c r="G85" i="17"/>
  <c r="G83" i="17"/>
  <c r="G79" i="17"/>
  <c r="G78" i="17"/>
  <c r="G77" i="17"/>
  <c r="G75" i="17"/>
  <c r="G74" i="17"/>
  <c r="G73" i="17"/>
  <c r="G72" i="17"/>
  <c r="G71" i="17"/>
  <c r="G70" i="17"/>
  <c r="G69" i="17"/>
  <c r="G67" i="17"/>
  <c r="G66" i="17"/>
  <c r="G65" i="17"/>
  <c r="G64" i="17"/>
  <c r="G63" i="17"/>
  <c r="G62" i="17"/>
  <c r="G61" i="17"/>
  <c r="G60" i="17"/>
  <c r="G59" i="17"/>
  <c r="G58" i="17"/>
  <c r="G57" i="17"/>
  <c r="G56" i="17"/>
  <c r="G55" i="17"/>
  <c r="G54" i="17"/>
  <c r="G53" i="17"/>
  <c r="G52" i="17"/>
  <c r="G51" i="17"/>
  <c r="G50" i="17"/>
  <c r="G49" i="17"/>
  <c r="G48" i="17"/>
  <c r="G47" i="17"/>
  <c r="G46" i="17"/>
  <c r="G45" i="17"/>
  <c r="G44" i="17"/>
  <c r="G43" i="17"/>
  <c r="G42" i="17"/>
  <c r="G41" i="17"/>
  <c r="G40" i="17"/>
  <c r="G39" i="17"/>
  <c r="G38" i="17"/>
  <c r="G37" i="17"/>
  <c r="G36" i="17"/>
  <c r="G35" i="17"/>
  <c r="G34" i="17"/>
  <c r="G33" i="17"/>
  <c r="G32" i="17"/>
  <c r="A32" i="17"/>
  <c r="A33" i="17" s="1"/>
  <c r="A34" i="17" s="1"/>
  <c r="A35" i="17" s="1"/>
  <c r="A36" i="17" s="1"/>
  <c r="A37" i="17" s="1"/>
  <c r="A38" i="17" s="1"/>
  <c r="A39" i="17" s="1"/>
  <c r="A40" i="17" s="1"/>
  <c r="A41" i="17" s="1"/>
  <c r="A42" i="17" s="1"/>
  <c r="A43" i="17" s="1"/>
  <c r="A44" i="17" s="1"/>
  <c r="A45" i="17" s="1"/>
  <c r="A46" i="17" s="1"/>
  <c r="A47" i="17" s="1"/>
  <c r="A48" i="17" s="1"/>
  <c r="A49" i="17" s="1"/>
  <c r="A50" i="17" s="1"/>
  <c r="A51" i="17" s="1"/>
  <c r="A52" i="17" s="1"/>
  <c r="A53" i="17" s="1"/>
  <c r="A54" i="17" s="1"/>
  <c r="A55" i="17" s="1"/>
  <c r="A56" i="17" s="1"/>
  <c r="A57" i="17" s="1"/>
  <c r="A58" i="17" s="1"/>
  <c r="A59" i="17" s="1"/>
  <c r="A60" i="17" s="1"/>
  <c r="A61" i="17" s="1"/>
  <c r="A62" i="17" s="1"/>
  <c r="A63" i="17" s="1"/>
  <c r="A64" i="17" s="1"/>
  <c r="A65" i="17" s="1"/>
  <c r="A66" i="17" s="1"/>
  <c r="A67" i="17" s="1"/>
  <c r="G31" i="17"/>
  <c r="G29" i="17"/>
  <c r="G28" i="17"/>
  <c r="G27" i="17"/>
  <c r="G26" i="17"/>
  <c r="G25" i="17"/>
  <c r="G24" i="17"/>
  <c r="G23" i="17"/>
  <c r="G22" i="17"/>
  <c r="G21" i="17"/>
  <c r="G20" i="17"/>
  <c r="G19" i="17"/>
  <c r="G18" i="17"/>
  <c r="G17" i="17"/>
  <c r="G16" i="17"/>
  <c r="G15" i="17"/>
  <c r="G14" i="17"/>
  <c r="G13" i="17"/>
  <c r="G12" i="17"/>
  <c r="O77" i="22" l="1"/>
  <c r="O78" i="22" s="1"/>
  <c r="F22" i="14"/>
  <c r="U72" i="22" l="1"/>
  <c r="H22" i="19"/>
  <c r="I22" i="15"/>
  <c r="H13" i="15"/>
  <c r="L13" i="15" s="1"/>
  <c r="H14" i="15"/>
  <c r="L14" i="15" s="1"/>
  <c r="H15" i="15"/>
  <c r="H16" i="15"/>
  <c r="H17" i="15"/>
  <c r="H18" i="15"/>
  <c r="H19" i="15"/>
  <c r="H20" i="15"/>
  <c r="L20" i="15" s="1"/>
  <c r="H21" i="15"/>
  <c r="L21" i="15" s="1"/>
  <c r="H22" i="15"/>
  <c r="H23" i="15"/>
  <c r="H24" i="15"/>
  <c r="H25" i="15"/>
  <c r="H26" i="15"/>
  <c r="H27" i="15"/>
  <c r="H28" i="15"/>
  <c r="L28" i="15" s="1"/>
  <c r="H29" i="15"/>
  <c r="L29" i="15" s="1"/>
  <c r="H30" i="15"/>
  <c r="L30" i="15" s="1"/>
  <c r="H31" i="15"/>
  <c r="H32" i="15"/>
  <c r="H33" i="15"/>
  <c r="H34" i="15"/>
  <c r="H35" i="15"/>
  <c r="H36" i="15"/>
  <c r="L36" i="15" s="1"/>
  <c r="H37" i="15"/>
  <c r="L37" i="15" s="1"/>
  <c r="H38" i="15"/>
  <c r="L38" i="15" s="1"/>
  <c r="H39" i="15"/>
  <c r="H40" i="15"/>
  <c r="H41" i="15"/>
  <c r="H42" i="15"/>
  <c r="H43" i="15"/>
  <c r="H44" i="15"/>
  <c r="L44" i="15" s="1"/>
  <c r="H45" i="15"/>
  <c r="L45" i="15" s="1"/>
  <c r="H46" i="15"/>
  <c r="L46" i="15" s="1"/>
  <c r="H47" i="15"/>
  <c r="H48" i="15"/>
  <c r="H49" i="15"/>
  <c r="H50" i="15"/>
  <c r="H51" i="15"/>
  <c r="H52" i="15"/>
  <c r="L52" i="15" s="1"/>
  <c r="H53" i="15"/>
  <c r="L53" i="15" s="1"/>
  <c r="H54" i="15"/>
  <c r="L54" i="15" s="1"/>
  <c r="H55" i="15"/>
  <c r="H56" i="15"/>
  <c r="H57" i="15"/>
  <c r="H58" i="15"/>
  <c r="H59" i="15"/>
  <c r="H60" i="15"/>
  <c r="L60" i="15" s="1"/>
  <c r="H61" i="15"/>
  <c r="L61" i="15" s="1"/>
  <c r="H62" i="15"/>
  <c r="H63" i="15"/>
  <c r="H64" i="15"/>
  <c r="H65" i="15"/>
  <c r="H66" i="15"/>
  <c r="H67" i="15"/>
  <c r="H68" i="15"/>
  <c r="L68" i="15" s="1"/>
  <c r="H69" i="15"/>
  <c r="L69" i="15" s="1"/>
  <c r="H70" i="15"/>
  <c r="H71" i="15"/>
  <c r="H72" i="15"/>
  <c r="H73" i="15"/>
  <c r="H74" i="15"/>
  <c r="H75" i="15"/>
  <c r="H76" i="15"/>
  <c r="L76" i="15" s="1"/>
  <c r="H77" i="15"/>
  <c r="L77" i="15" s="1"/>
  <c r="H78" i="15"/>
  <c r="H79" i="15"/>
  <c r="H80" i="15"/>
  <c r="H81" i="15"/>
  <c r="H82" i="15"/>
  <c r="H83" i="15"/>
  <c r="H84" i="15"/>
  <c r="L84" i="15" s="1"/>
  <c r="H85" i="15"/>
  <c r="L85" i="15" s="1"/>
  <c r="H86" i="15"/>
  <c r="H87" i="15"/>
  <c r="H12" i="15"/>
  <c r="L22" i="15" l="1"/>
  <c r="M22" i="15" s="1"/>
  <c r="K22" i="19"/>
  <c r="L22" i="19" s="1"/>
  <c r="L89" i="19" s="1"/>
  <c r="H89" i="19"/>
  <c r="L86" i="15"/>
  <c r="M86" i="15" s="1"/>
  <c r="L70" i="15"/>
  <c r="M70" i="15" s="1"/>
  <c r="L81" i="15"/>
  <c r="M81" i="15" s="1"/>
  <c r="L73" i="15"/>
  <c r="M73" i="15" s="1"/>
  <c r="L65" i="15"/>
  <c r="M65" i="15" s="1"/>
  <c r="L57" i="15"/>
  <c r="M57" i="15" s="1"/>
  <c r="L49" i="15"/>
  <c r="M49" i="15" s="1"/>
  <c r="L41" i="15"/>
  <c r="M41" i="15" s="1"/>
  <c r="L33" i="15"/>
  <c r="M33" i="15" s="1"/>
  <c r="L25" i="15"/>
  <c r="M25" i="15" s="1"/>
  <c r="L17" i="15"/>
  <c r="M17" i="15" s="1"/>
  <c r="L78" i="15"/>
  <c r="M78" i="15" s="1"/>
  <c r="L66" i="15"/>
  <c r="M66" i="15" s="1"/>
  <c r="L26" i="15"/>
  <c r="M26" i="15" s="1"/>
  <c r="L18" i="15"/>
  <c r="M18" i="15" s="1"/>
  <c r="L12" i="15"/>
  <c r="M12" i="15" s="1"/>
  <c r="L64" i="15"/>
  <c r="M64" i="15" s="1"/>
  <c r="L56" i="15"/>
  <c r="M56" i="15" s="1"/>
  <c r="L48" i="15"/>
  <c r="M48" i="15" s="1"/>
  <c r="L40" i="15"/>
  <c r="M40" i="15" s="1"/>
  <c r="L32" i="15"/>
  <c r="M32" i="15" s="1"/>
  <c r="L24" i="15"/>
  <c r="M24" i="15" s="1"/>
  <c r="L16" i="15"/>
  <c r="M16" i="15" s="1"/>
  <c r="L82" i="15"/>
  <c r="M82" i="15" s="1"/>
  <c r="L74" i="15"/>
  <c r="M74" i="15" s="1"/>
  <c r="L62" i="15"/>
  <c r="M62" i="15" s="1"/>
  <c r="L58" i="15"/>
  <c r="M58" i="15" s="1"/>
  <c r="L50" i="15"/>
  <c r="M50" i="15" s="1"/>
  <c r="L42" i="15"/>
  <c r="M42" i="15" s="1"/>
  <c r="L34" i="15"/>
  <c r="M34" i="15" s="1"/>
  <c r="L80" i="15"/>
  <c r="M80" i="15" s="1"/>
  <c r="L72" i="15"/>
  <c r="M72" i="15" s="1"/>
  <c r="L87" i="15"/>
  <c r="M87" i="15" s="1"/>
  <c r="L83" i="15"/>
  <c r="M83" i="15" s="1"/>
  <c r="L79" i="15"/>
  <c r="M79" i="15" s="1"/>
  <c r="L75" i="15"/>
  <c r="M75" i="15" s="1"/>
  <c r="L71" i="15"/>
  <c r="M71" i="15" s="1"/>
  <c r="L67" i="15"/>
  <c r="M67" i="15" s="1"/>
  <c r="L63" i="15"/>
  <c r="M63" i="15" s="1"/>
  <c r="L59" i="15"/>
  <c r="M59" i="15" s="1"/>
  <c r="L55" i="15"/>
  <c r="M55" i="15" s="1"/>
  <c r="L51" i="15"/>
  <c r="M51" i="15" s="1"/>
  <c r="L47" i="15"/>
  <c r="M47" i="15" s="1"/>
  <c r="L43" i="15"/>
  <c r="M43" i="15" s="1"/>
  <c r="L39" i="15"/>
  <c r="M39" i="15" s="1"/>
  <c r="L35" i="15"/>
  <c r="M35" i="15" s="1"/>
  <c r="L31" i="15"/>
  <c r="M31" i="15" s="1"/>
  <c r="L27" i="15"/>
  <c r="M27" i="15" s="1"/>
  <c r="L23" i="15"/>
  <c r="M23" i="15" s="1"/>
  <c r="L19" i="15"/>
  <c r="M19" i="15" s="1"/>
  <c r="L15" i="15"/>
  <c r="M15" i="15" s="1"/>
  <c r="M84" i="15"/>
  <c r="M76" i="15"/>
  <c r="M68" i="15"/>
  <c r="M60" i="15"/>
  <c r="M52" i="15"/>
  <c r="M44" i="15"/>
  <c r="M36" i="15"/>
  <c r="M28" i="15"/>
  <c r="M20" i="15"/>
  <c r="M85" i="15"/>
  <c r="M77" i="15"/>
  <c r="M69" i="15"/>
  <c r="M61" i="15"/>
  <c r="M53" i="15"/>
  <c r="M45" i="15"/>
  <c r="M37" i="15"/>
  <c r="M29" i="15"/>
  <c r="M21" i="15"/>
  <c r="M13" i="15"/>
  <c r="M54" i="15"/>
  <c r="M46" i="15"/>
  <c r="M38" i="15"/>
  <c r="M30" i="15"/>
  <c r="M14" i="15"/>
  <c r="K89" i="19" l="1"/>
  <c r="M89" i="15"/>
  <c r="G87" i="15"/>
  <c r="G81" i="15"/>
  <c r="G80" i="15"/>
  <c r="G79" i="15"/>
  <c r="G77" i="15"/>
  <c r="G76" i="15"/>
  <c r="G75" i="15"/>
  <c r="G74" i="15"/>
  <c r="G72" i="15"/>
  <c r="G70" i="15"/>
  <c r="G67" i="15"/>
  <c r="G66" i="15"/>
  <c r="G65" i="15"/>
  <c r="G64" i="15"/>
  <c r="G63" i="15"/>
  <c r="G62" i="15"/>
  <c r="G60" i="15"/>
  <c r="G58" i="15"/>
  <c r="G56" i="15"/>
  <c r="G55" i="15"/>
  <c r="G54" i="15"/>
  <c r="G53" i="15"/>
  <c r="G52" i="15"/>
  <c r="G51" i="15"/>
  <c r="G50" i="15"/>
  <c r="G49" i="15"/>
  <c r="G48" i="15"/>
  <c r="G47" i="15"/>
  <c r="G46" i="15"/>
  <c r="G45" i="15"/>
  <c r="G44" i="15"/>
  <c r="G43" i="15"/>
  <c r="G42" i="15"/>
  <c r="G41" i="15"/>
  <c r="G40" i="15"/>
  <c r="G39" i="15"/>
  <c r="G38" i="15"/>
  <c r="G37" i="15"/>
  <c r="G36" i="15"/>
  <c r="G35" i="15"/>
  <c r="G34" i="15"/>
  <c r="G33" i="15"/>
  <c r="G32" i="15"/>
  <c r="A32" i="15"/>
  <c r="A33" i="15" s="1"/>
  <c r="A34" i="15" s="1"/>
  <c r="A35" i="15" s="1"/>
  <c r="A36" i="15" s="1"/>
  <c r="A37" i="15" s="1"/>
  <c r="A38" i="15" s="1"/>
  <c r="A39" i="15" s="1"/>
  <c r="A40" i="15" s="1"/>
  <c r="A41" i="15" s="1"/>
  <c r="A42" i="15" s="1"/>
  <c r="A43" i="15" s="1"/>
  <c r="A44" i="15" s="1"/>
  <c r="A45" i="15" s="1"/>
  <c r="A46" i="15" s="1"/>
  <c r="A47" i="15" s="1"/>
  <c r="A48" i="15" s="1"/>
  <c r="A49" i="15" s="1"/>
  <c r="A50" i="15" s="1"/>
  <c r="A51" i="15" s="1"/>
  <c r="A52" i="15" s="1"/>
  <c r="A53" i="15" s="1"/>
  <c r="A54" i="15" s="1"/>
  <c r="A55" i="15" s="1"/>
  <c r="A56" i="15" s="1"/>
  <c r="A57" i="15" s="1"/>
  <c r="A58" i="15" s="1"/>
  <c r="A59" i="15" s="1"/>
  <c r="A60" i="15" s="1"/>
  <c r="A61" i="15" s="1"/>
  <c r="A62" i="15" s="1"/>
  <c r="A63" i="15" s="1"/>
  <c r="A64" i="15" s="1"/>
  <c r="A65" i="15" s="1"/>
  <c r="A66" i="15" s="1"/>
  <c r="A67" i="15" s="1"/>
  <c r="G31" i="15"/>
  <c r="G29" i="15"/>
  <c r="G28" i="15"/>
  <c r="G27" i="15"/>
  <c r="G26" i="15"/>
  <c r="G25" i="15"/>
  <c r="G24" i="15"/>
  <c r="G23" i="15"/>
  <c r="G22" i="15"/>
  <c r="G21" i="15"/>
  <c r="G20" i="15"/>
  <c r="G19" i="15"/>
  <c r="G18" i="15"/>
  <c r="G17" i="15"/>
  <c r="G16" i="15"/>
  <c r="G15" i="15"/>
  <c r="G14" i="15"/>
  <c r="G13" i="15"/>
  <c r="G12" i="15"/>
  <c r="G87" i="14"/>
  <c r="G85" i="14"/>
  <c r="G81" i="14"/>
  <c r="G80" i="14"/>
  <c r="G79" i="14"/>
  <c r="G77" i="14"/>
  <c r="G76" i="14"/>
  <c r="G75" i="14"/>
  <c r="G74" i="14"/>
  <c r="G73" i="14"/>
  <c r="G72" i="14"/>
  <c r="G71" i="14"/>
  <c r="G70" i="14"/>
  <c r="G69" i="14"/>
  <c r="G67" i="14"/>
  <c r="G66" i="14"/>
  <c r="G65" i="14"/>
  <c r="G64" i="14"/>
  <c r="G63" i="14"/>
  <c r="G62" i="14"/>
  <c r="G61" i="14"/>
  <c r="G60" i="14"/>
  <c r="G59" i="14"/>
  <c r="G58" i="14"/>
  <c r="G57" i="14"/>
  <c r="G56" i="14"/>
  <c r="G55" i="14"/>
  <c r="G54" i="14"/>
  <c r="G53" i="14"/>
  <c r="G52" i="14"/>
  <c r="G51" i="14"/>
  <c r="G50" i="14"/>
  <c r="G49" i="14"/>
  <c r="G48" i="14"/>
  <c r="G47" i="14"/>
  <c r="G46" i="14"/>
  <c r="G45" i="14"/>
  <c r="G44" i="14"/>
  <c r="G43" i="14"/>
  <c r="G42" i="14"/>
  <c r="G41" i="14"/>
  <c r="G40" i="14"/>
  <c r="G39" i="14"/>
  <c r="G38" i="14"/>
  <c r="G37" i="14"/>
  <c r="G36" i="14"/>
  <c r="G35" i="14"/>
  <c r="G34" i="14"/>
  <c r="G33" i="14"/>
  <c r="G32" i="14"/>
  <c r="A32" i="14"/>
  <c r="A33" i="14" s="1"/>
  <c r="A34" i="14" s="1"/>
  <c r="A35" i="14" s="1"/>
  <c r="A36" i="14" s="1"/>
  <c r="A37" i="14" s="1"/>
  <c r="A38" i="14" s="1"/>
  <c r="A39" i="14" s="1"/>
  <c r="A40" i="14" s="1"/>
  <c r="A41" i="14" s="1"/>
  <c r="A42" i="14" s="1"/>
  <c r="A43" i="14" s="1"/>
  <c r="A44" i="14" s="1"/>
  <c r="A45" i="14" s="1"/>
  <c r="A46" i="14" s="1"/>
  <c r="A47" i="14" s="1"/>
  <c r="A48" i="14" s="1"/>
  <c r="A49" i="14" s="1"/>
  <c r="A50" i="14" s="1"/>
  <c r="A51" i="14" s="1"/>
  <c r="A52" i="14" s="1"/>
  <c r="A53" i="14" s="1"/>
  <c r="A54" i="14" s="1"/>
  <c r="A55" i="14" s="1"/>
  <c r="A56" i="14" s="1"/>
  <c r="A57" i="14" s="1"/>
  <c r="A58" i="14" s="1"/>
  <c r="A59" i="14" s="1"/>
  <c r="A60" i="14" s="1"/>
  <c r="A61" i="14" s="1"/>
  <c r="A62" i="14" s="1"/>
  <c r="A63" i="14" s="1"/>
  <c r="A64" i="14" s="1"/>
  <c r="A65" i="14" s="1"/>
  <c r="A66" i="14" s="1"/>
  <c r="A67" i="14" s="1"/>
  <c r="G31" i="14"/>
  <c r="G29" i="14"/>
  <c r="G28" i="14"/>
  <c r="G27" i="14"/>
  <c r="G26" i="14"/>
  <c r="G25" i="14"/>
  <c r="G24" i="14"/>
  <c r="G23" i="14"/>
  <c r="G22" i="14"/>
  <c r="G21" i="14"/>
  <c r="G20" i="14"/>
  <c r="G19" i="14"/>
  <c r="G18" i="14"/>
  <c r="G17" i="14"/>
  <c r="G16" i="14"/>
  <c r="G15" i="14"/>
  <c r="G14" i="14"/>
  <c r="G13" i="14"/>
  <c r="G12" i="14"/>
  <c r="G87" i="9" l="1"/>
  <c r="G34" i="9"/>
  <c r="G37" i="9"/>
  <c r="G38" i="9"/>
  <c r="G39" i="9"/>
  <c r="G40" i="9"/>
  <c r="G41" i="9"/>
  <c r="G42" i="9"/>
  <c r="G43" i="9"/>
  <c r="G44" i="9"/>
  <c r="G32" i="9"/>
  <c r="G36" i="9"/>
  <c r="G35" i="9"/>
  <c r="G33" i="9"/>
  <c r="G31" i="9"/>
  <c r="G46" i="9"/>
  <c r="G66" i="9"/>
  <c r="G62" i="9"/>
  <c r="G81" i="9"/>
  <c r="G80" i="9"/>
  <c r="G79" i="9"/>
  <c r="G70" i="9"/>
  <c r="G72" i="9"/>
  <c r="G74" i="9"/>
  <c r="G75" i="9"/>
  <c r="G76" i="9"/>
  <c r="G77" i="9"/>
  <c r="G67" i="9"/>
  <c r="G45" i="9"/>
  <c r="G47" i="9"/>
  <c r="G48" i="9"/>
  <c r="G49" i="9"/>
  <c r="G50" i="9"/>
  <c r="G51" i="9"/>
  <c r="G52" i="9"/>
  <c r="G53" i="9"/>
  <c r="G54" i="9"/>
  <c r="G55" i="9"/>
  <c r="G56" i="9"/>
  <c r="G58" i="9"/>
  <c r="G60" i="9"/>
  <c r="G63" i="9"/>
  <c r="G64" i="9"/>
  <c r="G65" i="9"/>
  <c r="G29" i="9"/>
  <c r="G28" i="9"/>
  <c r="G27" i="9"/>
  <c r="G26" i="9"/>
  <c r="G25" i="9"/>
  <c r="G24" i="9"/>
  <c r="G23" i="9"/>
  <c r="G22" i="9"/>
  <c r="G13" i="9"/>
  <c r="G14" i="9"/>
  <c r="G15" i="9"/>
  <c r="G16" i="9"/>
  <c r="G17" i="9"/>
  <c r="G18" i="9"/>
  <c r="G19" i="9"/>
  <c r="G20" i="9"/>
  <c r="G21" i="9"/>
  <c r="G12" i="9"/>
  <c r="A32" i="9"/>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P52" i="8"/>
  <c r="Q52" i="8" s="1"/>
  <c r="R52" i="8" s="1"/>
  <c r="L52" i="8"/>
  <c r="M52" i="8" s="1"/>
  <c r="N52" i="8" s="1"/>
  <c r="H52" i="8"/>
  <c r="I52" i="8" s="1"/>
  <c r="J52" i="8" s="1"/>
  <c r="P51" i="8"/>
  <c r="Q51" i="8" s="1"/>
  <c r="R51" i="8" s="1"/>
  <c r="L51" i="8"/>
  <c r="M51" i="8"/>
  <c r="N51" i="8" s="1"/>
  <c r="H51" i="8"/>
  <c r="I51" i="8" s="1"/>
  <c r="J51" i="8" s="1"/>
  <c r="P50" i="8"/>
  <c r="Q50" i="8" s="1"/>
  <c r="R50" i="8" s="1"/>
  <c r="L50" i="8"/>
  <c r="M50" i="8" s="1"/>
  <c r="N50" i="8" s="1"/>
  <c r="H50" i="8"/>
  <c r="I50" i="8" s="1"/>
  <c r="J50" i="8" s="1"/>
  <c r="P49" i="8"/>
  <c r="Q49" i="8" s="1"/>
  <c r="R49" i="8"/>
  <c r="L49" i="8"/>
  <c r="M49" i="8" s="1"/>
  <c r="N49" i="8" s="1"/>
  <c r="H49" i="8"/>
  <c r="I49" i="8" s="1"/>
  <c r="J49" i="8" s="1"/>
  <c r="P48" i="8"/>
  <c r="Q48" i="8" s="1"/>
  <c r="R48" i="8" s="1"/>
  <c r="L48" i="8"/>
  <c r="M48" i="8" s="1"/>
  <c r="N48" i="8" s="1"/>
  <c r="H48" i="8"/>
  <c r="I48" i="8" s="1"/>
  <c r="J48" i="8" s="1"/>
  <c r="P47" i="8"/>
  <c r="Q47" i="8" s="1"/>
  <c r="R47" i="8" s="1"/>
  <c r="L47" i="8"/>
  <c r="M47" i="8" s="1"/>
  <c r="N47" i="8" s="1"/>
  <c r="H47" i="8"/>
  <c r="I47" i="8" s="1"/>
  <c r="J47" i="8" s="1"/>
  <c r="P46" i="8"/>
  <c r="Q46" i="8" s="1"/>
  <c r="R46" i="8" s="1"/>
  <c r="L46" i="8"/>
  <c r="M46" i="8" s="1"/>
  <c r="N46" i="8" s="1"/>
  <c r="H46" i="8"/>
  <c r="I46" i="8" s="1"/>
  <c r="J46" i="8" s="1"/>
  <c r="P45" i="8"/>
  <c r="Q45" i="8" s="1"/>
  <c r="R45" i="8" s="1"/>
  <c r="L45" i="8"/>
  <c r="M45" i="8" s="1"/>
  <c r="N45" i="8" s="1"/>
  <c r="H45" i="8"/>
  <c r="I45" i="8" s="1"/>
  <c r="J45" i="8" s="1"/>
  <c r="O44" i="8"/>
  <c r="P44" i="8" s="1"/>
  <c r="Q44" i="8" s="1"/>
  <c r="R44" i="8" s="1"/>
  <c r="L44" i="8"/>
  <c r="M44" i="8" s="1"/>
  <c r="N44" i="8" s="1"/>
  <c r="S44" i="8" s="1"/>
  <c r="H44" i="8"/>
  <c r="I44" i="8" s="1"/>
  <c r="J44" i="8" s="1"/>
  <c r="O43" i="8"/>
  <c r="P43" i="8" s="1"/>
  <c r="Q43" i="8" s="1"/>
  <c r="R43" i="8" s="1"/>
  <c r="L43" i="8"/>
  <c r="M43" i="8" s="1"/>
  <c r="N43" i="8" s="1"/>
  <c r="H43" i="8"/>
  <c r="I43" i="8" s="1"/>
  <c r="J43" i="8" s="1"/>
  <c r="O42" i="8"/>
  <c r="P42" i="8" s="1"/>
  <c r="Q42" i="8" s="1"/>
  <c r="R42" i="8" s="1"/>
  <c r="L42" i="8"/>
  <c r="M42" i="8" s="1"/>
  <c r="N42" i="8" s="1"/>
  <c r="H42" i="8"/>
  <c r="I42" i="8" s="1"/>
  <c r="J42" i="8" s="1"/>
  <c r="O41" i="8"/>
  <c r="P41" i="8"/>
  <c r="Q41" i="8" s="1"/>
  <c r="R41" i="8" s="1"/>
  <c r="L41" i="8"/>
  <c r="M41" i="8" s="1"/>
  <c r="N41" i="8" s="1"/>
  <c r="H41" i="8"/>
  <c r="I41" i="8" s="1"/>
  <c r="J41" i="8" s="1"/>
  <c r="O40" i="8"/>
  <c r="P40" i="8" s="1"/>
  <c r="Q40" i="8" s="1"/>
  <c r="R40" i="8" s="1"/>
  <c r="L40" i="8"/>
  <c r="M40" i="8" s="1"/>
  <c r="N40" i="8" s="1"/>
  <c r="H40" i="8"/>
  <c r="I40" i="8" s="1"/>
  <c r="J40" i="8" s="1"/>
  <c r="O39" i="8"/>
  <c r="P39" i="8" s="1"/>
  <c r="Q39" i="8" s="1"/>
  <c r="R39" i="8" s="1"/>
  <c r="L39" i="8"/>
  <c r="M39" i="8" s="1"/>
  <c r="N39" i="8" s="1"/>
  <c r="H39" i="8"/>
  <c r="I39" i="8" s="1"/>
  <c r="J39" i="8" s="1"/>
  <c r="O38" i="8"/>
  <c r="P38" i="8" s="1"/>
  <c r="Q38" i="8" s="1"/>
  <c r="R38" i="8" s="1"/>
  <c r="L38" i="8"/>
  <c r="M38" i="8" s="1"/>
  <c r="N38" i="8" s="1"/>
  <c r="H38" i="8"/>
  <c r="I38" i="8" s="1"/>
  <c r="J38" i="8" s="1"/>
  <c r="P37" i="8"/>
  <c r="Q37" i="8" s="1"/>
  <c r="R37" i="8" s="1"/>
  <c r="L37" i="8"/>
  <c r="M37" i="8" s="1"/>
  <c r="N37" i="8" s="1"/>
  <c r="H37" i="8"/>
  <c r="I37" i="8" s="1"/>
  <c r="J37" i="8" s="1"/>
  <c r="P36" i="8"/>
  <c r="Q36" i="8" s="1"/>
  <c r="R36" i="8" s="1"/>
  <c r="L36" i="8"/>
  <c r="M36" i="8" s="1"/>
  <c r="N36" i="8" s="1"/>
  <c r="S36" i="8" s="1"/>
  <c r="H36" i="8"/>
  <c r="I36" i="8" s="1"/>
  <c r="J36" i="8" s="1"/>
  <c r="P35" i="8"/>
  <c r="Q35" i="8" s="1"/>
  <c r="R35" i="8" s="1"/>
  <c r="L35" i="8"/>
  <c r="M35" i="8" s="1"/>
  <c r="N35" i="8" s="1"/>
  <c r="H35" i="8"/>
  <c r="I35" i="8" s="1"/>
  <c r="J35" i="8" s="1"/>
  <c r="P34" i="8"/>
  <c r="Q34" i="8" s="1"/>
  <c r="R34" i="8" s="1"/>
  <c r="L34" i="8"/>
  <c r="M34" i="8" s="1"/>
  <c r="N34" i="8" s="1"/>
  <c r="S34" i="8" s="1"/>
  <c r="H34" i="8"/>
  <c r="I34" i="8" s="1"/>
  <c r="J34" i="8" s="1"/>
  <c r="P33" i="8"/>
  <c r="Q33" i="8" s="1"/>
  <c r="R33" i="8" s="1"/>
  <c r="L33" i="8"/>
  <c r="M33" i="8" s="1"/>
  <c r="N33" i="8" s="1"/>
  <c r="H33" i="8"/>
  <c r="I33" i="8"/>
  <c r="J33" i="8" s="1"/>
  <c r="P32" i="8"/>
  <c r="Q32" i="8" s="1"/>
  <c r="R32" i="8" s="1"/>
  <c r="L32" i="8"/>
  <c r="M32" i="8" s="1"/>
  <c r="N32" i="8" s="1"/>
  <c r="H32" i="8"/>
  <c r="I32" i="8" s="1"/>
  <c r="J32" i="8" s="1"/>
  <c r="P31" i="8"/>
  <c r="Q31" i="8" s="1"/>
  <c r="R31" i="8" s="1"/>
  <c r="L31" i="8"/>
  <c r="M31" i="8" s="1"/>
  <c r="N31" i="8" s="1"/>
  <c r="H31" i="8"/>
  <c r="I31" i="8" s="1"/>
  <c r="J31" i="8" s="1"/>
  <c r="P30" i="8"/>
  <c r="Q30" i="8" s="1"/>
  <c r="R30" i="8" s="1"/>
  <c r="L30" i="8"/>
  <c r="M30" i="8" s="1"/>
  <c r="N30" i="8" s="1"/>
  <c r="H30" i="8"/>
  <c r="I30" i="8" s="1"/>
  <c r="J30" i="8" s="1"/>
  <c r="P29" i="8"/>
  <c r="Q29" i="8" s="1"/>
  <c r="R29" i="8" s="1"/>
  <c r="L29" i="8"/>
  <c r="M29" i="8" s="1"/>
  <c r="N29" i="8" s="1"/>
  <c r="H29" i="8"/>
  <c r="I29" i="8" s="1"/>
  <c r="J29" i="8" s="1"/>
  <c r="P28" i="8"/>
  <c r="Q28" i="8" s="1"/>
  <c r="R28" i="8" s="1"/>
  <c r="L28" i="8"/>
  <c r="M28" i="8" s="1"/>
  <c r="N28" i="8" s="1"/>
  <c r="S28" i="8" s="1"/>
  <c r="H28" i="8"/>
  <c r="I28" i="8" s="1"/>
  <c r="J28" i="8" s="1"/>
  <c r="P27" i="8"/>
  <c r="Q27" i="8" s="1"/>
  <c r="R27" i="8" s="1"/>
  <c r="L27" i="8"/>
  <c r="M27" i="8" s="1"/>
  <c r="N27" i="8" s="1"/>
  <c r="H27" i="8"/>
  <c r="I27" i="8" s="1"/>
  <c r="J27" i="8" s="1"/>
  <c r="P26" i="8"/>
  <c r="Q26" i="8" s="1"/>
  <c r="R26" i="8" s="1"/>
  <c r="L26" i="8"/>
  <c r="M26" i="8" s="1"/>
  <c r="N26" i="8" s="1"/>
  <c r="H26" i="8"/>
  <c r="I26" i="8" s="1"/>
  <c r="J26" i="8" s="1"/>
  <c r="P25" i="8"/>
  <c r="Q25" i="8" s="1"/>
  <c r="R25" i="8" s="1"/>
  <c r="L25" i="8"/>
  <c r="M25" i="8" s="1"/>
  <c r="N25" i="8" s="1"/>
  <c r="H25" i="8"/>
  <c r="I25" i="8" s="1"/>
  <c r="J25" i="8" s="1"/>
  <c r="P24" i="8"/>
  <c r="Q24" i="8" s="1"/>
  <c r="R24" i="8" s="1"/>
  <c r="L24" i="8"/>
  <c r="M24" i="8" s="1"/>
  <c r="N24" i="8" s="1"/>
  <c r="S24" i="8" s="1"/>
  <c r="H24" i="8"/>
  <c r="I24" i="8" s="1"/>
  <c r="J24" i="8" s="1"/>
  <c r="P23" i="8"/>
  <c r="Q23" i="8" s="1"/>
  <c r="R23" i="8" s="1"/>
  <c r="L23" i="8"/>
  <c r="M23" i="8" s="1"/>
  <c r="N23" i="8" s="1"/>
  <c r="H23" i="8"/>
  <c r="I23" i="8" s="1"/>
  <c r="J23" i="8" s="1"/>
  <c r="P22" i="8"/>
  <c r="Q22" i="8" s="1"/>
  <c r="R22" i="8" s="1"/>
  <c r="L22" i="8"/>
  <c r="M22" i="8" s="1"/>
  <c r="N22" i="8" s="1"/>
  <c r="H22" i="8"/>
  <c r="I22" i="8" s="1"/>
  <c r="J22" i="8" s="1"/>
  <c r="P21" i="8"/>
  <c r="Q21" i="8" s="1"/>
  <c r="R21" i="8" s="1"/>
  <c r="L21" i="8"/>
  <c r="M21" i="8" s="1"/>
  <c r="N21" i="8" s="1"/>
  <c r="H21" i="8"/>
  <c r="I21" i="8" s="1"/>
  <c r="J21" i="8" s="1"/>
  <c r="P20" i="8"/>
  <c r="Q20" i="8" s="1"/>
  <c r="R20" i="8" s="1"/>
  <c r="L20" i="8"/>
  <c r="M20" i="8" s="1"/>
  <c r="N20" i="8" s="1"/>
  <c r="H20" i="8"/>
  <c r="I20" i="8" s="1"/>
  <c r="J20" i="8" s="1"/>
  <c r="P19" i="8"/>
  <c r="Q19" i="8" s="1"/>
  <c r="R19" i="8" s="1"/>
  <c r="L19" i="8"/>
  <c r="M19" i="8" s="1"/>
  <c r="N19" i="8" s="1"/>
  <c r="S19" i="8" s="1"/>
  <c r="H19" i="8"/>
  <c r="I19" i="8" s="1"/>
  <c r="J19" i="8" s="1"/>
  <c r="P18" i="8"/>
  <c r="Q18" i="8" s="1"/>
  <c r="R18" i="8" s="1"/>
  <c r="L18" i="8"/>
  <c r="M18" i="8" s="1"/>
  <c r="N18" i="8" s="1"/>
  <c r="S18" i="8" s="1"/>
  <c r="H18" i="8"/>
  <c r="I18" i="8" s="1"/>
  <c r="J18" i="8" s="1"/>
  <c r="P17" i="8"/>
  <c r="Q17" i="8" s="1"/>
  <c r="R17" i="8" s="1"/>
  <c r="L17" i="8"/>
  <c r="M17" i="8" s="1"/>
  <c r="N17" i="8" s="1"/>
  <c r="H17" i="8"/>
  <c r="I17" i="8" s="1"/>
  <c r="J17" i="8" s="1"/>
  <c r="P16" i="8"/>
  <c r="Q16" i="8" s="1"/>
  <c r="R16" i="8" s="1"/>
  <c r="L16" i="8"/>
  <c r="M16" i="8" s="1"/>
  <c r="N16" i="8" s="1"/>
  <c r="H16" i="8"/>
  <c r="I16" i="8" s="1"/>
  <c r="J16" i="8" s="1"/>
  <c r="P15" i="8"/>
  <c r="Q15" i="8" s="1"/>
  <c r="R15" i="8" s="1"/>
  <c r="L15" i="8"/>
  <c r="M15" i="8" s="1"/>
  <c r="N15" i="8" s="1"/>
  <c r="H15" i="8"/>
  <c r="I15" i="8"/>
  <c r="J15" i="8" s="1"/>
  <c r="P14" i="8"/>
  <c r="Q14" i="8" s="1"/>
  <c r="R14" i="8" s="1"/>
  <c r="L14" i="8"/>
  <c r="M14" i="8" s="1"/>
  <c r="N14" i="8" s="1"/>
  <c r="H14" i="8"/>
  <c r="I14" i="8" s="1"/>
  <c r="J14" i="8" s="1"/>
  <c r="P13" i="8"/>
  <c r="Q13" i="8" s="1"/>
  <c r="R13" i="8" s="1"/>
  <c r="L13" i="8"/>
  <c r="M13" i="8" s="1"/>
  <c r="N13" i="8" s="1"/>
  <c r="H13" i="8"/>
  <c r="I13" i="8" s="1"/>
  <c r="J13" i="8" s="1"/>
  <c r="P12" i="8"/>
  <c r="Q12" i="8" s="1"/>
  <c r="R12" i="8" s="1"/>
  <c r="L12" i="8"/>
  <c r="M12" i="8" s="1"/>
  <c r="N12" i="8" s="1"/>
  <c r="H12" i="8"/>
  <c r="I12" i="8" s="1"/>
  <c r="J12" i="8" s="1"/>
  <c r="P11" i="8"/>
  <c r="Q11" i="8" s="1"/>
  <c r="R11" i="8" s="1"/>
  <c r="L11" i="8"/>
  <c r="M11" i="8" s="1"/>
  <c r="N11" i="8" s="1"/>
  <c r="H11" i="8"/>
  <c r="I11" i="8" s="1"/>
  <c r="J11" i="8" s="1"/>
  <c r="S51" i="8"/>
  <c r="O43" i="7"/>
  <c r="P43" i="7" s="1"/>
  <c r="Q43" i="7" s="1"/>
  <c r="R43" i="7" s="1"/>
  <c r="L43" i="7"/>
  <c r="M43" i="7" s="1"/>
  <c r="N43" i="7" s="1"/>
  <c r="H43" i="7"/>
  <c r="I43" i="7" s="1"/>
  <c r="J43" i="7" s="1"/>
  <c r="O42" i="7"/>
  <c r="P42" i="7" s="1"/>
  <c r="Q42" i="7" s="1"/>
  <c r="R42" i="7" s="1"/>
  <c r="L42" i="7"/>
  <c r="M42" i="7" s="1"/>
  <c r="N42" i="7" s="1"/>
  <c r="H42" i="7"/>
  <c r="I42" i="7"/>
  <c r="J42" i="7" s="1"/>
  <c r="O41" i="7"/>
  <c r="P41" i="7" s="1"/>
  <c r="Q41" i="7" s="1"/>
  <c r="R41" i="7" s="1"/>
  <c r="L41" i="7"/>
  <c r="M41" i="7" s="1"/>
  <c r="N41" i="7" s="1"/>
  <c r="H41" i="7"/>
  <c r="I41" i="7" s="1"/>
  <c r="J41" i="7" s="1"/>
  <c r="O40" i="7"/>
  <c r="P40" i="7" s="1"/>
  <c r="Q40" i="7" s="1"/>
  <c r="R40" i="7" s="1"/>
  <c r="L40" i="7"/>
  <c r="M40" i="7" s="1"/>
  <c r="N40" i="7"/>
  <c r="H40" i="7"/>
  <c r="I40" i="7"/>
  <c r="J40" i="7" s="1"/>
  <c r="O39" i="7"/>
  <c r="P39" i="7" s="1"/>
  <c r="Q39" i="7" s="1"/>
  <c r="R39" i="7" s="1"/>
  <c r="S39" i="7" s="1"/>
  <c r="L39" i="7"/>
  <c r="M39" i="7" s="1"/>
  <c r="N39" i="7" s="1"/>
  <c r="H39" i="7"/>
  <c r="I39" i="7" s="1"/>
  <c r="J39" i="7" s="1"/>
  <c r="O38" i="7"/>
  <c r="P38" i="7" s="1"/>
  <c r="Q38" i="7" s="1"/>
  <c r="R38" i="7" s="1"/>
  <c r="L38" i="7"/>
  <c r="M38" i="7" s="1"/>
  <c r="N38" i="7"/>
  <c r="H38" i="7"/>
  <c r="I38" i="7" s="1"/>
  <c r="J38" i="7" s="1"/>
  <c r="O37" i="7"/>
  <c r="P37" i="7" s="1"/>
  <c r="Q37" i="7" s="1"/>
  <c r="R37" i="7" s="1"/>
  <c r="L37" i="7"/>
  <c r="M37" i="7" s="1"/>
  <c r="N37" i="7" s="1"/>
  <c r="H37" i="7"/>
  <c r="I37" i="7" s="1"/>
  <c r="J37" i="7" s="1"/>
  <c r="P51" i="7"/>
  <c r="Q51" i="7" s="1"/>
  <c r="R51" i="7"/>
  <c r="P50" i="7"/>
  <c r="Q50" i="7" s="1"/>
  <c r="R50" i="7" s="1"/>
  <c r="P49" i="7"/>
  <c r="Q49" i="7" s="1"/>
  <c r="R49" i="7" s="1"/>
  <c r="P48" i="7"/>
  <c r="Q48" i="7" s="1"/>
  <c r="R48" i="7" s="1"/>
  <c r="P47" i="7"/>
  <c r="Q47" i="7" s="1"/>
  <c r="R47" i="7" s="1"/>
  <c r="P46" i="7"/>
  <c r="Q46" i="7" s="1"/>
  <c r="R46" i="7" s="1"/>
  <c r="P45" i="7"/>
  <c r="Q45" i="7" s="1"/>
  <c r="R45" i="7" s="1"/>
  <c r="P44" i="7"/>
  <c r="Q44" i="7" s="1"/>
  <c r="R44" i="7" s="1"/>
  <c r="P36" i="7"/>
  <c r="Q36" i="7" s="1"/>
  <c r="R36" i="7" s="1"/>
  <c r="P35" i="7"/>
  <c r="Q35" i="7" s="1"/>
  <c r="R35" i="7" s="1"/>
  <c r="P34" i="7"/>
  <c r="Q34" i="7" s="1"/>
  <c r="R34" i="7" s="1"/>
  <c r="P33" i="7"/>
  <c r="Q33" i="7" s="1"/>
  <c r="R33" i="7" s="1"/>
  <c r="P32" i="7"/>
  <c r="Q32" i="7" s="1"/>
  <c r="R32" i="7" s="1"/>
  <c r="P31" i="7"/>
  <c r="Q31" i="7" s="1"/>
  <c r="R31" i="7" s="1"/>
  <c r="P30" i="7"/>
  <c r="Q30" i="7" s="1"/>
  <c r="R30" i="7" s="1"/>
  <c r="P29" i="7"/>
  <c r="Q29" i="7" s="1"/>
  <c r="R29" i="7" s="1"/>
  <c r="P28" i="7"/>
  <c r="Q28" i="7" s="1"/>
  <c r="R28" i="7" s="1"/>
  <c r="P27" i="7"/>
  <c r="Q27" i="7" s="1"/>
  <c r="R27" i="7" s="1"/>
  <c r="P26" i="7"/>
  <c r="Q26" i="7" s="1"/>
  <c r="R26" i="7" s="1"/>
  <c r="P25" i="7"/>
  <c r="Q25" i="7" s="1"/>
  <c r="R25" i="7" s="1"/>
  <c r="P24" i="7"/>
  <c r="Q24" i="7" s="1"/>
  <c r="R24" i="7" s="1"/>
  <c r="P23" i="7"/>
  <c r="Q23" i="7" s="1"/>
  <c r="R23" i="7" s="1"/>
  <c r="P22" i="7"/>
  <c r="Q22" i="7" s="1"/>
  <c r="R22" i="7" s="1"/>
  <c r="P21" i="7"/>
  <c r="Q21" i="7" s="1"/>
  <c r="R21" i="7" s="1"/>
  <c r="P20" i="7"/>
  <c r="Q20" i="7" s="1"/>
  <c r="R20" i="7" s="1"/>
  <c r="P19" i="7"/>
  <c r="Q19" i="7" s="1"/>
  <c r="R19" i="7" s="1"/>
  <c r="P18" i="7"/>
  <c r="Q18" i="7" s="1"/>
  <c r="R18" i="7" s="1"/>
  <c r="P17" i="7"/>
  <c r="Q17" i="7" s="1"/>
  <c r="R17" i="7" s="1"/>
  <c r="P16" i="7"/>
  <c r="Q16" i="7" s="1"/>
  <c r="R16" i="7" s="1"/>
  <c r="P15" i="7"/>
  <c r="Q15" i="7" s="1"/>
  <c r="R15" i="7" s="1"/>
  <c r="P14" i="7"/>
  <c r="Q14" i="7" s="1"/>
  <c r="R14" i="7" s="1"/>
  <c r="P13" i="7"/>
  <c r="Q13" i="7" s="1"/>
  <c r="R13" i="7" s="1"/>
  <c r="P12" i="7"/>
  <c r="Q12" i="7" s="1"/>
  <c r="R12" i="7" s="1"/>
  <c r="P11" i="7"/>
  <c r="Q11" i="7" s="1"/>
  <c r="R11" i="7" s="1"/>
  <c r="P10" i="7"/>
  <c r="Q10" i="7" s="1"/>
  <c r="R10" i="7" s="1"/>
  <c r="L51" i="7"/>
  <c r="M51" i="7" s="1"/>
  <c r="N51" i="7" s="1"/>
  <c r="L50" i="7"/>
  <c r="M50" i="7" s="1"/>
  <c r="N50" i="7" s="1"/>
  <c r="L49" i="7"/>
  <c r="M49" i="7" s="1"/>
  <c r="N49" i="7" s="1"/>
  <c r="L48" i="7"/>
  <c r="M48" i="7" s="1"/>
  <c r="N48" i="7" s="1"/>
  <c r="L47" i="7"/>
  <c r="M47" i="7" s="1"/>
  <c r="N47" i="7" s="1"/>
  <c r="L46" i="7"/>
  <c r="M46" i="7" s="1"/>
  <c r="N46" i="7" s="1"/>
  <c r="L45" i="7"/>
  <c r="M45" i="7" s="1"/>
  <c r="N45" i="7" s="1"/>
  <c r="S45" i="7" s="1"/>
  <c r="L44" i="7"/>
  <c r="M44" i="7" s="1"/>
  <c r="N44" i="7" s="1"/>
  <c r="S44" i="7" s="1"/>
  <c r="L36" i="7"/>
  <c r="M36" i="7" s="1"/>
  <c r="N36" i="7" s="1"/>
  <c r="L35" i="7"/>
  <c r="M35" i="7" s="1"/>
  <c r="N35" i="7" s="1"/>
  <c r="L34" i="7"/>
  <c r="M34" i="7" s="1"/>
  <c r="N34" i="7" s="1"/>
  <c r="L33" i="7"/>
  <c r="M33" i="7" s="1"/>
  <c r="N33" i="7" s="1"/>
  <c r="L32" i="7"/>
  <c r="M32" i="7" s="1"/>
  <c r="N32" i="7" s="1"/>
  <c r="L31" i="7"/>
  <c r="M31" i="7" s="1"/>
  <c r="N31" i="7" s="1"/>
  <c r="S31" i="7" s="1"/>
  <c r="L30" i="7"/>
  <c r="M30" i="7" s="1"/>
  <c r="N30" i="7" s="1"/>
  <c r="S30" i="7" s="1"/>
  <c r="L29" i="7"/>
  <c r="M29" i="7" s="1"/>
  <c r="N29" i="7" s="1"/>
  <c r="L28" i="7"/>
  <c r="M28" i="7" s="1"/>
  <c r="N28" i="7" s="1"/>
  <c r="L27" i="7"/>
  <c r="M27" i="7" s="1"/>
  <c r="N27" i="7" s="1"/>
  <c r="L26" i="7"/>
  <c r="M26" i="7" s="1"/>
  <c r="N26" i="7" s="1"/>
  <c r="L25" i="7"/>
  <c r="M25" i="7" s="1"/>
  <c r="N25" i="7" s="1"/>
  <c r="L24" i="7"/>
  <c r="M24" i="7" s="1"/>
  <c r="N24" i="7" s="1"/>
  <c r="L23" i="7"/>
  <c r="M23" i="7" s="1"/>
  <c r="N23" i="7" s="1"/>
  <c r="L22" i="7"/>
  <c r="M22" i="7" s="1"/>
  <c r="N22" i="7" s="1"/>
  <c r="S22" i="7" s="1"/>
  <c r="L21" i="7"/>
  <c r="M21" i="7" s="1"/>
  <c r="N21" i="7" s="1"/>
  <c r="L20" i="7"/>
  <c r="M20" i="7" s="1"/>
  <c r="N20" i="7" s="1"/>
  <c r="L19" i="7"/>
  <c r="M19" i="7" s="1"/>
  <c r="N19" i="7" s="1"/>
  <c r="L18" i="7"/>
  <c r="M18" i="7" s="1"/>
  <c r="N18" i="7" s="1"/>
  <c r="L17" i="7"/>
  <c r="M17" i="7" s="1"/>
  <c r="N17" i="7" s="1"/>
  <c r="L16" i="7"/>
  <c r="M16" i="7" s="1"/>
  <c r="N16" i="7" s="1"/>
  <c r="S16" i="7" s="1"/>
  <c r="L15" i="7"/>
  <c r="M15" i="7" s="1"/>
  <c r="N15" i="7" s="1"/>
  <c r="S15" i="7" s="1"/>
  <c r="L14" i="7"/>
  <c r="M14" i="7" s="1"/>
  <c r="N14" i="7" s="1"/>
  <c r="S14" i="7" s="1"/>
  <c r="L13" i="7"/>
  <c r="M13" i="7" s="1"/>
  <c r="N13" i="7" s="1"/>
  <c r="L12" i="7"/>
  <c r="M12" i="7" s="1"/>
  <c r="N12" i="7" s="1"/>
  <c r="L11" i="7"/>
  <c r="M11" i="7" s="1"/>
  <c r="N11" i="7" s="1"/>
  <c r="L10" i="7"/>
  <c r="M10" i="7" s="1"/>
  <c r="N10" i="7" s="1"/>
  <c r="H45" i="7"/>
  <c r="I45" i="7" s="1"/>
  <c r="J45" i="7" s="1"/>
  <c r="H46" i="7"/>
  <c r="I46" i="7" s="1"/>
  <c r="J46" i="7" s="1"/>
  <c r="H47" i="7"/>
  <c r="I47" i="7" s="1"/>
  <c r="J47" i="7" s="1"/>
  <c r="H48" i="7"/>
  <c r="I48" i="7" s="1"/>
  <c r="J48" i="7" s="1"/>
  <c r="H49" i="7"/>
  <c r="I49" i="7" s="1"/>
  <c r="J49" i="7" s="1"/>
  <c r="H50" i="7"/>
  <c r="I50" i="7" s="1"/>
  <c r="J50" i="7" s="1"/>
  <c r="H51" i="7"/>
  <c r="I51" i="7" s="1"/>
  <c r="J51" i="7" s="1"/>
  <c r="H44" i="7"/>
  <c r="I44" i="7" s="1"/>
  <c r="J44" i="7" s="1"/>
  <c r="H33" i="7"/>
  <c r="I33" i="7" s="1"/>
  <c r="J33" i="7" s="1"/>
  <c r="H34" i="7"/>
  <c r="I34" i="7"/>
  <c r="J34" i="7" s="1"/>
  <c r="H35" i="7"/>
  <c r="I35" i="7" s="1"/>
  <c r="J35" i="7" s="1"/>
  <c r="H36" i="7"/>
  <c r="I36" i="7" s="1"/>
  <c r="J36" i="7" s="1"/>
  <c r="H32" i="7"/>
  <c r="I32" i="7" s="1"/>
  <c r="J32" i="7" s="1"/>
  <c r="H23" i="7"/>
  <c r="I23" i="7" s="1"/>
  <c r="J23" i="7" s="1"/>
  <c r="H24" i="7"/>
  <c r="I24" i="7" s="1"/>
  <c r="J24" i="7" s="1"/>
  <c r="H25" i="7"/>
  <c r="I25" i="7" s="1"/>
  <c r="J25" i="7" s="1"/>
  <c r="H26" i="7"/>
  <c r="I26" i="7" s="1"/>
  <c r="J26" i="7" s="1"/>
  <c r="H27" i="7"/>
  <c r="I27" i="7"/>
  <c r="J27" i="7" s="1"/>
  <c r="H28" i="7"/>
  <c r="I28" i="7" s="1"/>
  <c r="J28" i="7" s="1"/>
  <c r="H29" i="7"/>
  <c r="I29" i="7" s="1"/>
  <c r="J29" i="7" s="1"/>
  <c r="H30" i="7"/>
  <c r="I30" i="7" s="1"/>
  <c r="J30" i="7" s="1"/>
  <c r="H31" i="7"/>
  <c r="I31" i="7" s="1"/>
  <c r="J31" i="7" s="1"/>
  <c r="H22" i="7"/>
  <c r="I22" i="7" s="1"/>
  <c r="J22" i="7" s="1"/>
  <c r="H21" i="7"/>
  <c r="I21" i="7" s="1"/>
  <c r="J21" i="7" s="1"/>
  <c r="H11" i="7"/>
  <c r="I11" i="7" s="1"/>
  <c r="J11" i="7" s="1"/>
  <c r="H12" i="7"/>
  <c r="I12" i="7" s="1"/>
  <c r="J12" i="7" s="1"/>
  <c r="H13" i="7"/>
  <c r="I13" i="7" s="1"/>
  <c r="J13" i="7" s="1"/>
  <c r="H14" i="7"/>
  <c r="I14" i="7" s="1"/>
  <c r="J14" i="7" s="1"/>
  <c r="H15" i="7"/>
  <c r="I15" i="7" s="1"/>
  <c r="J15" i="7" s="1"/>
  <c r="H16" i="7"/>
  <c r="I16" i="7" s="1"/>
  <c r="J16" i="7" s="1"/>
  <c r="H17" i="7"/>
  <c r="I17" i="7" s="1"/>
  <c r="J17" i="7" s="1"/>
  <c r="H18" i="7"/>
  <c r="I18" i="7" s="1"/>
  <c r="J18" i="7" s="1"/>
  <c r="H19" i="7"/>
  <c r="I19" i="7" s="1"/>
  <c r="J19" i="7" s="1"/>
  <c r="H20" i="7"/>
  <c r="I20" i="7" s="1"/>
  <c r="J20" i="7" s="1"/>
  <c r="H10" i="7"/>
  <c r="I10" i="7" s="1"/>
  <c r="J10" i="7" s="1"/>
  <c r="S13" i="8" l="1"/>
  <c r="S48" i="8"/>
  <c r="S29" i="7"/>
  <c r="S41" i="7"/>
  <c r="S26" i="7"/>
  <c r="S11" i="7"/>
  <c r="S19" i="7"/>
  <c r="S40" i="7"/>
  <c r="S27" i="8"/>
  <c r="S43" i="8"/>
  <c r="S23" i="7"/>
  <c r="S46" i="7"/>
  <c r="S37" i="7"/>
  <c r="T37" i="7" s="1"/>
  <c r="V37" i="7" s="1"/>
  <c r="S42" i="7"/>
  <c r="S25" i="7"/>
  <c r="S33" i="7"/>
  <c r="S49" i="8"/>
  <c r="S49" i="7"/>
  <c r="S27" i="7"/>
  <c r="S50" i="7"/>
  <c r="S38" i="7"/>
  <c r="S18" i="7"/>
  <c r="S34" i="7"/>
  <c r="S12" i="7"/>
  <c r="S20" i="7"/>
  <c r="S14" i="8"/>
  <c r="S43" i="7"/>
  <c r="S30" i="8"/>
  <c r="S52" i="8"/>
  <c r="S41" i="8"/>
  <c r="S50" i="8"/>
  <c r="S36" i="7"/>
  <c r="S40" i="8"/>
  <c r="S17" i="7"/>
  <c r="S48" i="7"/>
  <c r="S28" i="7"/>
  <c r="S47" i="7"/>
  <c r="S15" i="8"/>
  <c r="S22" i="8"/>
  <c r="S33" i="8"/>
  <c r="S45" i="8"/>
  <c r="S25" i="8"/>
  <c r="S13" i="7"/>
  <c r="S21" i="7"/>
  <c r="S35" i="7"/>
  <c r="S24" i="7"/>
  <c r="S51" i="7"/>
  <c r="S17" i="8"/>
  <c r="S31" i="8"/>
  <c r="S47" i="8"/>
  <c r="G88" i="9"/>
  <c r="S32" i="7"/>
  <c r="S23" i="8"/>
  <c r="J52" i="7"/>
  <c r="N52" i="7"/>
  <c r="S10" i="7"/>
  <c r="R52" i="7"/>
  <c r="N53" i="8"/>
  <c r="S11" i="8"/>
  <c r="S16" i="8"/>
  <c r="S12" i="8"/>
  <c r="S21" i="8"/>
  <c r="S37" i="8"/>
  <c r="S46" i="8"/>
  <c r="J53" i="8"/>
  <c r="R53" i="8"/>
  <c r="S32" i="8"/>
  <c r="S35" i="8"/>
  <c r="S38" i="8"/>
  <c r="S42" i="8"/>
  <c r="S20" i="8"/>
  <c r="S26" i="8"/>
  <c r="S29" i="8"/>
  <c r="S39" i="8"/>
  <c r="T32" i="7" l="1"/>
  <c r="V32" i="7" s="1"/>
  <c r="T21" i="7"/>
  <c r="V21" i="7" s="1"/>
  <c r="T10" i="7"/>
  <c r="V10" i="7" s="1"/>
  <c r="V52" i="7" s="1"/>
  <c r="E56" i="7" s="1"/>
  <c r="T33" i="8"/>
  <c r="V33" i="8" s="1"/>
  <c r="T45" i="8"/>
  <c r="V45" i="8" s="1"/>
  <c r="T44" i="7"/>
  <c r="V44" i="7" s="1"/>
  <c r="E58" i="7" s="1"/>
  <c r="S53" i="8"/>
  <c r="T22" i="8"/>
  <c r="V22" i="8" s="1"/>
  <c r="S52" i="7"/>
  <c r="T38" i="8"/>
  <c r="V38" i="8" s="1"/>
  <c r="T11" i="8"/>
  <c r="T52" i="7" l="1"/>
  <c r="E59" i="8"/>
  <c r="T53" i="8"/>
  <c r="V11" i="8"/>
  <c r="V53" i="8" s="1"/>
  <c r="E57" i="8" s="1"/>
  <c r="E57" i="7"/>
  <c r="E61" i="7"/>
  <c r="E62" i="8" l="1"/>
  <c r="E58" i="8"/>
</calcChain>
</file>

<file path=xl/sharedStrings.xml><?xml version="1.0" encoding="utf-8"?>
<sst xmlns="http://schemas.openxmlformats.org/spreadsheetml/2006/main" count="3338" uniqueCount="676">
  <si>
    <t>No.</t>
  </si>
  <si>
    <t>TIPO DEL EVENTO</t>
  </si>
  <si>
    <t>VALOR UNITARIO ANTES DE IVA</t>
  </si>
  <si>
    <r>
      <rPr>
        <b/>
        <sz val="11"/>
        <rFont val="Calibri"/>
        <family val="2"/>
        <scheme val="minor"/>
      </rPr>
      <t xml:space="preserve">Salón en hotel 4 estrellas/centro de convenciones (Bogotá D.C): </t>
    </r>
    <r>
      <rPr>
        <sz val="11"/>
        <rFont val="Calibri"/>
        <family val="2"/>
        <scheme val="minor"/>
      </rPr>
      <t>con capacidad para 100 personas, incluyendo sillas en forma auditorio, telón para proyección. Se requiere por cuatro horas.</t>
    </r>
  </si>
  <si>
    <r>
      <rPr>
        <b/>
        <sz val="11"/>
        <color rgb="FF000000"/>
        <rFont val="Calibri"/>
        <family val="2"/>
        <scheme val="minor"/>
      </rPr>
      <t>Sonido profesional</t>
    </r>
    <r>
      <rPr>
        <sz val="11"/>
        <color rgb="FF000000"/>
        <rFont val="Calibri"/>
        <family val="2"/>
        <scheme val="minor"/>
      </rPr>
      <t>: (amplificaciones) requerido para auditorio con capacidad de 100 personas. Se requiere por cuatro horas.</t>
    </r>
  </si>
  <si>
    <r>
      <t>Micrófono inalámbrico.</t>
    </r>
    <r>
      <rPr>
        <sz val="11"/>
        <rFont val="Calibri"/>
        <family val="2"/>
        <scheme val="minor"/>
      </rPr>
      <t xml:space="preserve"> Se requiere por cuatro horas.</t>
    </r>
  </si>
  <si>
    <r>
      <t xml:space="preserve">Estación de Café Tipo II: </t>
    </r>
    <r>
      <rPr>
        <sz val="11"/>
        <rFont val="Calibri"/>
        <family val="2"/>
        <scheme val="minor"/>
      </rPr>
      <t xml:space="preserve">Café y aromática para 85 personas aproximadamente. Debe incluir todo lo necesario para su funcionamiento, la estación de café debe estar acondicionada de tal forma que sea autoservicio. Se requiere el servicio para los 4 días completos. </t>
    </r>
    <r>
      <rPr>
        <b/>
        <sz val="11"/>
        <rFont val="Calibri"/>
        <family val="2"/>
        <scheme val="minor"/>
      </rPr>
      <t>NOTA:</t>
    </r>
    <r>
      <rPr>
        <sz val="11"/>
        <rFont val="Calibri"/>
        <family val="2"/>
        <scheme val="minor"/>
      </rPr>
      <t xml:space="preserve"> En la columna valor unitario antes de IVA deberá ofertar el valor por persona.</t>
    </r>
  </si>
  <si>
    <r>
      <rPr>
        <b/>
        <sz val="11"/>
        <rFont val="Calibri"/>
        <family val="2"/>
        <scheme val="minor"/>
      </rPr>
      <t>Almuerzo  de trabajo servido en el restaurante del hotel:</t>
    </r>
    <r>
      <rPr>
        <sz val="11"/>
        <rFont val="Calibri"/>
        <family val="2"/>
        <scheme val="minor"/>
      </rPr>
      <t xml:space="preserve">  El almuerzo debe estar compuesto por: Entrada, plato fuerte: porción de proteína (carne roja 250gr, pollo 250gr, cerdo 250gr o pescado 300 gr), una harina, porción de ensalada o vegetales, Jugo natural o gaseosa (12onz), Postre pequeño. Incluir servicio de meseros y todo lo requerido para prestar ese servicio. Se requieren 40 almuerzos.</t>
    </r>
    <r>
      <rPr>
        <b/>
        <sz val="11"/>
        <rFont val="Calibri"/>
        <family val="2"/>
        <scheme val="minor"/>
      </rPr>
      <t xml:space="preserve"> NOTA 1:</t>
    </r>
    <r>
      <rPr>
        <sz val="11"/>
        <rFont val="Calibri"/>
        <family val="2"/>
        <scheme val="minor"/>
      </rPr>
      <t xml:space="preserve"> En la columna valor unitario antes de IVA deberá ofertar el valor de  un almuerzo. </t>
    </r>
    <r>
      <rPr>
        <b/>
        <sz val="11"/>
        <rFont val="Calibri"/>
        <family val="2"/>
        <scheme val="minor"/>
      </rPr>
      <t xml:space="preserve">NOTA 2: </t>
    </r>
    <r>
      <rPr>
        <sz val="11"/>
        <rFont val="Calibri"/>
        <family val="2"/>
        <scheme val="minor"/>
      </rPr>
      <t xml:space="preserve">Se deben ofrecer al menos 3 opciones de menú para las personas invitadas. El ICFES confirmará la lista de personas invitadas. </t>
    </r>
  </si>
  <si>
    <t>ÍTEM</t>
  </si>
  <si>
    <r>
      <t xml:space="preserve">Refrigerios Tipo II: </t>
    </r>
    <r>
      <rPr>
        <sz val="11"/>
        <rFont val="Calibri"/>
        <family val="2"/>
        <scheme val="minor"/>
      </rPr>
      <t xml:space="preserve">Refrigerio empacado solido y liquido, por ejemplo sándwich empacado y jugo en botella. Se requieren refrigerios AM o PM para 40 personas. Los refrigerios deberán ser entregados a la persona designada por el ICFES, por lo tanto NO se requiere servicio de meseros y menaje. </t>
    </r>
    <r>
      <rPr>
        <b/>
        <sz val="11"/>
        <rFont val="Calibri"/>
        <family val="2"/>
        <scheme val="minor"/>
      </rPr>
      <t>NOTA:</t>
    </r>
    <r>
      <rPr>
        <sz val="11"/>
        <rFont val="Calibri"/>
        <family val="2"/>
        <scheme val="minor"/>
      </rPr>
      <t xml:space="preserve"> En la columna valor unitario antes de IVA deberá ofertar el valor de  un refrigerio.</t>
    </r>
  </si>
  <si>
    <r>
      <rPr>
        <b/>
        <sz val="11"/>
        <color rgb="FF000000"/>
        <rFont val="Calibri"/>
        <family val="2"/>
        <scheme val="minor"/>
      </rPr>
      <t xml:space="preserve">Computador portátil: </t>
    </r>
    <r>
      <rPr>
        <sz val="11"/>
        <color rgb="FF000000"/>
        <rFont val="Calibri"/>
        <family val="2"/>
        <scheme val="minor"/>
      </rPr>
      <t xml:space="preserve">Mínimo con las siguientes características: Procesador intel i3, 2GB RAM, DD 80 GB, Video 128 MB, Office 2007 instalado en su versión completa, Posibilidad de conexión a internet.  Se requiere 1 computador portátil por día. </t>
    </r>
    <r>
      <rPr>
        <b/>
        <sz val="11"/>
        <color rgb="FF000000"/>
        <rFont val="Calibri"/>
        <family val="2"/>
        <scheme val="minor"/>
      </rPr>
      <t>NOTA:</t>
    </r>
    <r>
      <rPr>
        <sz val="11"/>
        <color rgb="FF000000"/>
        <rFont val="Calibri"/>
        <family val="2"/>
        <scheme val="minor"/>
      </rPr>
      <t xml:space="preserve"> En la columna valor unitario antes de IVA deberá ofertar el valor por persona.</t>
    </r>
  </si>
  <si>
    <t>IVA  UNITARIO</t>
  </si>
  <si>
    <t>DÍAS</t>
  </si>
  <si>
    <t>CANTIDAD x DÍA</t>
  </si>
  <si>
    <r>
      <rPr>
        <b/>
        <sz val="11"/>
        <rFont val="Calibri"/>
        <family val="2"/>
        <scheme val="minor"/>
      </rPr>
      <t>Montaje y desmontaje del Evento:</t>
    </r>
    <r>
      <rPr>
        <sz val="11"/>
        <rFont val="Calibri"/>
        <family val="2"/>
        <scheme val="minor"/>
      </rPr>
      <t xml:space="preserve"> Corresponde a todos los recursos técnicos, infraestructura y el personal de apoyo que se requiera para la ejecución de TODO el evento, deberá incluir visitas previas.  </t>
    </r>
    <r>
      <rPr>
        <b/>
        <sz val="11"/>
        <rFont val="Calibri"/>
        <family val="2"/>
        <scheme val="minor"/>
      </rPr>
      <t>NOTA:</t>
    </r>
    <r>
      <rPr>
        <sz val="11"/>
        <rFont val="Calibri"/>
        <family val="2"/>
        <scheme val="minor"/>
      </rPr>
      <t xml:space="preserve"> En la columna valor unitario antes de IVA deberá ofertar el valor de todo el servicio, por los cuatro 4 días de duración del evento, de acuerdo a la naturaleza del evento. </t>
    </r>
  </si>
  <si>
    <r>
      <rPr>
        <b/>
        <sz val="11"/>
        <color rgb="FF000000"/>
        <rFont val="Calibri"/>
        <family val="2"/>
        <scheme val="minor"/>
      </rPr>
      <t>Salón</t>
    </r>
    <r>
      <rPr>
        <sz val="11"/>
        <color rgb="FF000000"/>
        <rFont val="Calibri"/>
        <family val="2"/>
        <scheme val="minor"/>
      </rPr>
      <t xml:space="preserve"> con capacidad para  40 personas con sillas y mesas ubicado en forma de u, o mesa redonda, con telón para proyección. En Bogotá D.C. ubicación central</t>
    </r>
    <r>
      <rPr>
        <b/>
        <sz val="11"/>
        <color rgb="FF000000"/>
        <rFont val="Calibri"/>
        <family val="2"/>
        <scheme val="minor"/>
      </rPr>
      <t>. Se requiere salón por un día</t>
    </r>
  </si>
  <si>
    <r>
      <rPr>
        <b/>
        <sz val="11"/>
        <rFont val="Calibri"/>
        <family val="2"/>
        <scheme val="minor"/>
      </rPr>
      <t>Montaje y desmontaje del Evento:</t>
    </r>
    <r>
      <rPr>
        <sz val="11"/>
        <rFont val="Calibri"/>
        <family val="2"/>
        <scheme val="minor"/>
      </rPr>
      <t xml:space="preserve"> Corresponde a todos los recursos técnicos, infraestructura y el personal de apoyo que se requiera para la ejecución de TODO el evento, deberá incluir visitas previas.  </t>
    </r>
    <r>
      <rPr>
        <b/>
        <sz val="11"/>
        <rFont val="Calibri"/>
        <family val="2"/>
        <scheme val="minor"/>
      </rPr>
      <t>NOTA:</t>
    </r>
    <r>
      <rPr>
        <sz val="11"/>
        <rFont val="Calibri"/>
        <family val="2"/>
        <scheme val="minor"/>
      </rPr>
      <t xml:space="preserve"> En la columna valor unitario antes de IVA deberá ofertar el valor del TODO el servicio de acuerdo a la naturaleza del evento. </t>
    </r>
  </si>
  <si>
    <t>Trabajo de Niveles de desempeño Saber 11</t>
  </si>
  <si>
    <r>
      <rPr>
        <b/>
        <sz val="11"/>
        <color rgb="FF000000"/>
        <rFont val="Calibri"/>
        <family val="2"/>
        <scheme val="minor"/>
      </rPr>
      <t xml:space="preserve">Computador portátil: </t>
    </r>
    <r>
      <rPr>
        <sz val="11"/>
        <color rgb="FF000000"/>
        <rFont val="Calibri"/>
        <family val="2"/>
        <scheme val="minor"/>
      </rPr>
      <t xml:space="preserve">Mínimo con las siguientes características: Procesador intel i3, 2GB RAM, DD 80 GB, Video 128 MB, Office 2007 instalado en su versión completa, Posibilidad de conexión a internet. </t>
    </r>
    <r>
      <rPr>
        <b/>
        <sz val="11"/>
        <color rgb="FF000000"/>
        <rFont val="Calibri"/>
        <family val="2"/>
        <scheme val="minor"/>
      </rPr>
      <t>Se requieren 7 computadores por 5 días. NOTA:</t>
    </r>
    <r>
      <rPr>
        <sz val="11"/>
        <color rgb="FF000000"/>
        <rFont val="Calibri"/>
        <family val="2"/>
        <scheme val="minor"/>
      </rPr>
      <t xml:space="preserve"> En la columna valor unitario antes de IVA deberá ofertar el valor unitario de  un computador por un día.</t>
    </r>
  </si>
  <si>
    <r>
      <rPr>
        <b/>
        <sz val="11"/>
        <color rgb="FF000000"/>
        <rFont val="Calibri"/>
        <family val="2"/>
        <scheme val="minor"/>
      </rPr>
      <t xml:space="preserve">Video Beam: </t>
    </r>
    <r>
      <rPr>
        <sz val="11"/>
        <color rgb="FF000000"/>
        <rFont val="Calibri"/>
        <family val="2"/>
        <scheme val="minor"/>
      </rPr>
      <t xml:space="preserve">Mínimo con las siguientes características: </t>
    </r>
    <r>
      <rPr>
        <b/>
        <sz val="11"/>
        <color rgb="FF000000"/>
        <rFont val="Calibri"/>
        <family val="2"/>
        <scheme val="minor"/>
      </rPr>
      <t xml:space="preserve"> </t>
    </r>
    <r>
      <rPr>
        <sz val="11"/>
        <color rgb="FF000000"/>
        <rFont val="Calibri"/>
        <family val="2"/>
        <scheme val="minor"/>
      </rPr>
      <t xml:space="preserve">4000 Lumens, Resolución XGA (1024 x 768), 786.000 píxeles. </t>
    </r>
    <r>
      <rPr>
        <b/>
        <sz val="11"/>
        <color rgb="FF000000"/>
        <rFont val="Calibri"/>
        <family val="2"/>
        <scheme val="minor"/>
      </rPr>
      <t xml:space="preserve">Se requieren 6 video beam por 5 días. NOTA: </t>
    </r>
    <r>
      <rPr>
        <sz val="11"/>
        <color rgb="FF000000"/>
        <rFont val="Calibri"/>
        <family val="2"/>
        <scheme val="minor"/>
      </rPr>
      <t>En la columna valor unitario antes de IVA deberá ofertar el valor de  un video beam por un día.</t>
    </r>
  </si>
  <si>
    <r>
      <rPr>
        <b/>
        <sz val="11"/>
        <rFont val="Calibri"/>
        <family val="2"/>
        <scheme val="minor"/>
      </rPr>
      <t xml:space="preserve">Salón en hotel 4 estrellas/centro de convenciones (Bogotá D.C): </t>
    </r>
    <r>
      <rPr>
        <sz val="11"/>
        <rFont val="Calibri"/>
        <family val="2"/>
        <scheme val="minor"/>
      </rPr>
      <t>con capacidad para 15 personas aproximadamente, incluyendo sillas y mesas dispuestas en U o mesa redonda y telón para proyección.</t>
    </r>
    <r>
      <rPr>
        <b/>
        <sz val="11"/>
        <rFont val="Calibri"/>
        <family val="2"/>
        <scheme val="minor"/>
      </rPr>
      <t xml:space="preserve"> Se requieren 7 salones por día, el evento tendrá una duración de 5 días.</t>
    </r>
    <r>
      <rPr>
        <sz val="11"/>
        <rFont val="Calibri"/>
        <family val="2"/>
        <scheme val="minor"/>
      </rPr>
      <t xml:space="preserve">  </t>
    </r>
    <r>
      <rPr>
        <b/>
        <sz val="11"/>
        <rFont val="Calibri"/>
        <family val="2"/>
        <scheme val="minor"/>
      </rPr>
      <t>NOTA:</t>
    </r>
    <r>
      <rPr>
        <sz val="11"/>
        <rFont val="Calibri"/>
        <family val="2"/>
        <scheme val="minor"/>
      </rPr>
      <t xml:space="preserve"> En la columna valor unitario antes de IVA deberá ofertar el valor de un salón por un día.</t>
    </r>
  </si>
  <si>
    <r>
      <t xml:space="preserve">Tablero acrílico o Paleógrafo móvil: </t>
    </r>
    <r>
      <rPr>
        <sz val="11"/>
        <rFont val="Calibri"/>
        <family val="2"/>
        <scheme val="minor"/>
      </rPr>
      <t xml:space="preserve">con todos los implementos para el funcionamiento (hojas, marcadores, borrador...). </t>
    </r>
    <r>
      <rPr>
        <b/>
        <sz val="11"/>
        <rFont val="Calibri"/>
        <family val="2"/>
        <scheme val="minor"/>
      </rPr>
      <t>Se requieren 6 tableros o paleógrafos por 5 días. NOTA:</t>
    </r>
    <r>
      <rPr>
        <sz val="11"/>
        <rFont val="Calibri"/>
        <family val="2"/>
        <scheme val="minor"/>
      </rPr>
      <t xml:space="preserve"> En la columna valor unitario antes de IVA deberá ofertar el valor de  un tablero o paleógrafo por un día.</t>
    </r>
  </si>
  <si>
    <t>Trabajo de Niveles de desempeño Saber PRO</t>
  </si>
  <si>
    <t xml:space="preserve">Balance 2014 y Metas 2015 - Dirección de Evaluación </t>
  </si>
  <si>
    <t>Área Responsable</t>
  </si>
  <si>
    <t>Dirección de Evaluación</t>
  </si>
  <si>
    <t xml:space="preserve">EVENTO INSTALACIONES DEL ICFES </t>
  </si>
  <si>
    <r>
      <rPr>
        <b/>
        <sz val="11"/>
        <color theme="1"/>
        <rFont val="Calibri"/>
        <family val="2"/>
        <scheme val="minor"/>
      </rPr>
      <t>Estación de Café tipo I:</t>
    </r>
    <r>
      <rPr>
        <sz val="11"/>
        <color theme="1"/>
        <rFont val="Calibri"/>
        <family val="2"/>
        <scheme val="minor"/>
      </rPr>
      <t xml:space="preserve"> Café y aromática con galletas para 100 personas aproximadamente. Debe incluir menaje, meseros y todo lo necesario para su funcionamiento. El evento tiene una duración de tres (3) horas.</t>
    </r>
  </si>
  <si>
    <r>
      <rPr>
        <b/>
        <sz val="11"/>
        <color theme="1"/>
        <rFont val="Calibri"/>
        <family val="2"/>
        <scheme val="minor"/>
      </rPr>
      <t>Sonido profesional:</t>
    </r>
    <r>
      <rPr>
        <sz val="11"/>
        <color theme="1"/>
        <rFont val="Calibri"/>
        <family val="2"/>
        <scheme val="minor"/>
      </rPr>
      <t xml:space="preserve"> para auditorio en el ICFES con capacidad para 100 personas.</t>
    </r>
  </si>
  <si>
    <t>Micrófono de solapa</t>
  </si>
  <si>
    <t>Micrófono inalámbrico.</t>
  </si>
  <si>
    <r>
      <rPr>
        <b/>
        <sz val="11"/>
        <rFont val="Calibri"/>
        <family val="2"/>
        <scheme val="minor"/>
      </rPr>
      <t xml:space="preserve">Envío de invitaciones a través de   correo electrónico (masivo):
</t>
    </r>
    <r>
      <rPr>
        <sz val="11"/>
        <rFont val="Calibri"/>
        <family val="2"/>
        <scheme val="minor"/>
      </rPr>
      <t>Mínimo 150 personas.
El diseño de la invitación electrónica lo suministra el ICFES.  
La base de datos la suministra el ICFES.
El operador logístico deberá actualizarla de acuerdo a la confirmación de asistencia, validando los datos suministrados por el ICFES</t>
    </r>
  </si>
  <si>
    <r>
      <rPr>
        <b/>
        <sz val="11"/>
        <rFont val="Calibri"/>
        <family val="2"/>
        <scheme val="minor"/>
      </rPr>
      <t>CONVOCATORIA DE INVITADOS</t>
    </r>
    <r>
      <rPr>
        <sz val="11"/>
        <rFont val="Calibri"/>
        <family val="2"/>
        <scheme val="minor"/>
      </rPr>
      <t xml:space="preserve">: Se debe realizar confirmación de asistencia vía telefónica a las personas invitadas y entregar reporte sobre avance de la convocatoria de acuerdo con la periodicidad solicitada por el supervisor del contrato o la persona encargada de coordinar el evento por parte del ICFES.  
</t>
    </r>
  </si>
  <si>
    <r>
      <rPr>
        <b/>
        <sz val="11"/>
        <color theme="1"/>
        <rFont val="Calibri"/>
        <family val="2"/>
        <scheme val="minor"/>
      </rPr>
      <t xml:space="preserve">Control y registro del ingreso de los asistentes: </t>
    </r>
    <r>
      <rPr>
        <sz val="11"/>
        <color theme="1"/>
        <rFont val="Calibri"/>
        <family val="2"/>
        <scheme val="minor"/>
      </rPr>
      <t xml:space="preserve"> Registro sistematizado para aproximadamente 100 personas  Se debe entregar base de datos de asistentes al ICFES (En Excel que incluya como mínimo Nombre, correo electrónico y entidad, de los asistentes). </t>
    </r>
  </si>
  <si>
    <r>
      <rPr>
        <b/>
        <sz val="11"/>
        <color theme="1"/>
        <rFont val="Calibri"/>
        <family val="2"/>
        <scheme val="minor"/>
      </rPr>
      <t xml:space="preserve">Montaje y desmontaje del Evento: </t>
    </r>
    <r>
      <rPr>
        <sz val="11"/>
        <color theme="1"/>
        <rFont val="Calibri"/>
        <family val="2"/>
        <scheme val="minor"/>
      </rPr>
      <t>Corresponde a todos los recursos técnicos, infraestructura y el personal de apoyo que se requiera para la ejecución del evento en las instalaciones del ICFES para entre 50 y 100 asistentes.</t>
    </r>
  </si>
  <si>
    <t>EVENTO COMUNICACIONES</t>
  </si>
  <si>
    <r>
      <rPr>
        <b/>
        <sz val="11"/>
        <rFont val="Calibri"/>
        <family val="2"/>
        <scheme val="minor"/>
      </rPr>
      <t>Almuerzo  de trabajo servido en el restaurante del hotel o cerca al centro de convenciones:</t>
    </r>
    <r>
      <rPr>
        <sz val="11"/>
        <rFont val="Calibri"/>
        <family val="2"/>
        <scheme val="minor"/>
      </rPr>
      <t xml:space="preserve">  El almuerzo debe estar compuesto por: Entrada, plato fuerte: Porción de proteína (carne roja 250gr, pollo 250gr, cerdo 250gr o pescado 300 gr), una harina, porción de ensalada o vegetales, Jugo natural o gaseosa (12onz), postre pequeño. Incluir servicio de meseros, menaje y todo lo requerido para prestar el servicio. </t>
    </r>
    <r>
      <rPr>
        <sz val="11"/>
        <rFont val="Calibri"/>
        <family val="2"/>
        <scheme val="minor"/>
      </rPr>
      <t xml:space="preserve"> </t>
    </r>
    <r>
      <rPr>
        <b/>
        <sz val="11"/>
        <rFont val="Calibri"/>
        <family val="2"/>
        <scheme val="minor"/>
      </rPr>
      <t>NOTA 1:</t>
    </r>
    <r>
      <rPr>
        <sz val="11"/>
        <rFont val="Calibri"/>
        <family val="2"/>
        <scheme val="minor"/>
      </rPr>
      <t xml:space="preserve"> En la columna valor unitario antes de IVA deberá ofertar el valor de  un almuerzo. </t>
    </r>
    <r>
      <rPr>
        <b/>
        <sz val="11"/>
        <rFont val="Calibri"/>
        <family val="2"/>
        <scheme val="minor"/>
      </rPr>
      <t>NOTA 2:</t>
    </r>
    <r>
      <rPr>
        <sz val="11"/>
        <rFont val="Calibri"/>
        <family val="2"/>
        <scheme val="minor"/>
      </rPr>
      <t xml:space="preserve"> Se deben ofrecer al menos 3 opciones de menú para las personas invitadas. El ICFES confirmará la lista de personas invitadas. </t>
    </r>
  </si>
  <si>
    <r>
      <rPr>
        <b/>
        <sz val="11"/>
        <rFont val="Calibri"/>
        <family val="2"/>
        <scheme val="minor"/>
      </rPr>
      <t>Almuerzo  de trabajo servido en el restaurante del hotel o cerca al centro de convenciones:</t>
    </r>
    <r>
      <rPr>
        <sz val="11"/>
        <rFont val="Calibri"/>
        <family val="2"/>
        <scheme val="minor"/>
      </rPr>
      <t xml:space="preserve">  El almuerzo debe estar compuesto por: Entrada, plato fuerte: Porción de proteína (carne roja 250gr, pollo 250gr, cerdo 250gr o pescado 300 gr), una harina, porción de ensalada o vegetales, Jugo natural o gaseosa (12onz), postre pequeño. Incluir servicio de meseros, menaje y todo lo requerido para prestar el servicio</t>
    </r>
    <r>
      <rPr>
        <sz val="11"/>
        <rFont val="Calibri"/>
        <family val="2"/>
        <scheme val="minor"/>
      </rPr>
      <t xml:space="preserve">. </t>
    </r>
    <r>
      <rPr>
        <b/>
        <sz val="11"/>
        <rFont val="Calibri"/>
        <family val="2"/>
        <scheme val="minor"/>
      </rPr>
      <t>NOTA 1:</t>
    </r>
    <r>
      <rPr>
        <sz val="11"/>
        <rFont val="Calibri"/>
        <family val="2"/>
        <scheme val="minor"/>
      </rPr>
      <t xml:space="preserve"> En la columna valor unitario antes de IVA deberá ofertar el valor de  un almuerzo. </t>
    </r>
    <r>
      <rPr>
        <b/>
        <sz val="11"/>
        <rFont val="Calibri"/>
        <family val="2"/>
        <scheme val="minor"/>
      </rPr>
      <t>NOTA 2:</t>
    </r>
    <r>
      <rPr>
        <sz val="11"/>
        <rFont val="Calibri"/>
        <family val="2"/>
        <scheme val="minor"/>
      </rPr>
      <t xml:space="preserve"> Se deben ofrecer al menos 3 opciones de menú para las personas invitadas. El ICFES confirmará la lista de personas invitadas. </t>
    </r>
  </si>
  <si>
    <r>
      <t xml:space="preserve">Refrigerios (Tipo I): </t>
    </r>
    <r>
      <rPr>
        <sz val="11"/>
        <rFont val="Calibri"/>
        <family val="2"/>
        <scheme val="minor"/>
      </rPr>
      <t xml:space="preserve">Gaseosa (12onz) o jugo natural, solido de sal o de dulce. (horneado pastelería, frito, canapés). Debe incluir menaje y servicio de meseros. Se requieren refrigerios AM y PM (100 para cada jornada) - 5 días. </t>
    </r>
    <r>
      <rPr>
        <b/>
        <sz val="11"/>
        <rFont val="Calibri"/>
        <family val="2"/>
        <scheme val="minor"/>
      </rPr>
      <t xml:space="preserve">NOTA: </t>
    </r>
    <r>
      <rPr>
        <sz val="11"/>
        <rFont val="Calibri"/>
        <family val="2"/>
        <scheme val="minor"/>
      </rPr>
      <t>En la columna valor unitario antes de IVA deberá ofertar el valor de  un refrigerio.</t>
    </r>
  </si>
  <si>
    <t>VALOR UNITARIO INCLUIDO IVA =</t>
  </si>
  <si>
    <t>VALOR TOTAL =</t>
  </si>
  <si>
    <t>TOTAL</t>
  </si>
  <si>
    <t>VALOR POR EVENTO CON PROMEDIO</t>
  </si>
  <si>
    <t>NO. EVENTOS</t>
  </si>
  <si>
    <t>VALOR TOTAL PPTO</t>
  </si>
  <si>
    <t>ANÁLISIS ESTUDIO DE MERCADO</t>
  </si>
  <si>
    <r>
      <rPr>
        <b/>
        <sz val="11"/>
        <rFont val="Calibri"/>
        <family val="2"/>
        <scheme val="minor"/>
      </rPr>
      <t>Salón en hotel 3 estrellas o Salón de universidad (Bogotá)</t>
    </r>
    <r>
      <rPr>
        <sz val="11"/>
        <rFont val="Calibri"/>
        <family val="2"/>
        <scheme val="minor"/>
      </rPr>
      <t xml:space="preserve">: con capacidad para 200 personas, incluyendo sillas dispuestas en forma de auditorio y telón para proyección. </t>
    </r>
    <r>
      <rPr>
        <b/>
        <sz val="11"/>
        <rFont val="Calibri"/>
        <family val="2"/>
        <scheme val="minor"/>
      </rPr>
      <t>Se requiere un salón por cuatro horas.</t>
    </r>
  </si>
  <si>
    <r>
      <rPr>
        <b/>
        <sz val="11"/>
        <color rgb="FF000000"/>
        <rFont val="Calibri"/>
        <family val="2"/>
        <scheme val="minor"/>
      </rPr>
      <t xml:space="preserve">Video Beam: </t>
    </r>
    <r>
      <rPr>
        <sz val="11"/>
        <color rgb="FF000000"/>
        <rFont val="Calibri"/>
        <family val="2"/>
        <scheme val="minor"/>
      </rPr>
      <t xml:space="preserve">Mínimo con las siguientes características: 4000 Lumens, Resolución, XGA (1024 x 768), 786.000 píxeles. </t>
    </r>
    <r>
      <rPr>
        <b/>
        <sz val="11"/>
        <color rgb="FF000000"/>
        <rFont val="Calibri"/>
        <family val="2"/>
        <scheme val="minor"/>
      </rPr>
      <t>Se requiere 1 video beam por 4 horas</t>
    </r>
    <r>
      <rPr>
        <sz val="11"/>
        <color rgb="FF000000"/>
        <rFont val="Calibri"/>
        <family val="2"/>
        <scheme val="minor"/>
      </rPr>
      <t>.</t>
    </r>
    <r>
      <rPr>
        <b/>
        <sz val="11"/>
        <color rgb="FF000000"/>
        <rFont val="Calibri"/>
        <family val="2"/>
        <scheme val="minor"/>
      </rPr>
      <t/>
    </r>
  </si>
  <si>
    <r>
      <rPr>
        <b/>
        <sz val="11"/>
        <color rgb="FF000000"/>
        <rFont val="Calibri"/>
        <family val="2"/>
        <scheme val="minor"/>
      </rPr>
      <t xml:space="preserve">Computador portátil: </t>
    </r>
    <r>
      <rPr>
        <sz val="11"/>
        <color rgb="FF000000"/>
        <rFont val="Calibri"/>
        <family val="2"/>
        <scheme val="minor"/>
      </rPr>
      <t>Mínimo con las siguientes características: Procesador intel i3, 2GB RAM, DD 80 GB, Video 128 MB, Office 2007 instalado en su versión completa, Posibilidad de conexión a internet.  Se</t>
    </r>
    <r>
      <rPr>
        <b/>
        <sz val="11"/>
        <color rgb="FF000000"/>
        <rFont val="Calibri"/>
        <family val="2"/>
        <scheme val="minor"/>
      </rPr>
      <t xml:space="preserve"> requiere 1 computador portátil por 4 horas.</t>
    </r>
  </si>
  <si>
    <r>
      <rPr>
        <b/>
        <sz val="11"/>
        <color rgb="FF000000"/>
        <rFont val="Calibri"/>
        <family val="2"/>
        <scheme val="minor"/>
      </rPr>
      <t>Sonido profesional:</t>
    </r>
    <r>
      <rPr>
        <sz val="11"/>
        <color rgb="FF000000"/>
        <rFont val="Calibri"/>
        <family val="2"/>
        <scheme val="minor"/>
      </rPr>
      <t xml:space="preserve"> (amplificaciones) requerido para auditorio con capacidad de 200 personas.</t>
    </r>
    <r>
      <rPr>
        <b/>
        <sz val="11"/>
        <color rgb="FF000000"/>
        <rFont val="Calibri"/>
        <family val="2"/>
        <scheme val="minor"/>
      </rPr>
      <t xml:space="preserve"> Se requiere sonido profesional por 4 horas. </t>
    </r>
  </si>
  <si>
    <r>
      <t xml:space="preserve">Micrófono inalámbrico. </t>
    </r>
    <r>
      <rPr>
        <sz val="11"/>
        <rFont val="Calibri"/>
        <family val="2"/>
        <scheme val="minor"/>
      </rPr>
      <t xml:space="preserve">Se requiere micrófono inalámbrico  por 4 horas. </t>
    </r>
    <r>
      <rPr>
        <b/>
        <sz val="11"/>
        <rFont val="Calibri"/>
        <family val="2"/>
        <scheme val="minor"/>
      </rPr>
      <t/>
    </r>
  </si>
  <si>
    <r>
      <t xml:space="preserve">Estación de Café Tipo II: </t>
    </r>
    <r>
      <rPr>
        <sz val="11"/>
        <rFont val="Calibri"/>
        <family val="2"/>
        <scheme val="minor"/>
      </rPr>
      <t xml:space="preserve">Café y aromática y galletas para 200 personas aproximadamente  para 4 horas . Debe incluir todo lo necesario para su funcionamiento, la estación de café debe estar acondicionada de tal forma que sea autoservicio. </t>
    </r>
    <r>
      <rPr>
        <b/>
        <sz val="11"/>
        <rFont val="Calibri"/>
        <family val="2"/>
        <scheme val="minor"/>
      </rPr>
      <t>NOTA:</t>
    </r>
    <r>
      <rPr>
        <sz val="11"/>
        <rFont val="Calibri"/>
        <family val="2"/>
        <scheme val="minor"/>
      </rPr>
      <t xml:space="preserve"> En la columna valor unitario antes de IVA deberá ofertar el valor por persona.</t>
    </r>
  </si>
  <si>
    <r>
      <rPr>
        <b/>
        <sz val="11"/>
        <rFont val="Calibri"/>
        <family val="2"/>
        <scheme val="minor"/>
      </rPr>
      <t>Montaje y desmontaje del Evento:</t>
    </r>
    <r>
      <rPr>
        <sz val="11"/>
        <rFont val="Calibri"/>
        <family val="2"/>
        <scheme val="minor"/>
      </rPr>
      <t xml:space="preserve"> Corresponde a todos los recursos técnicos, infraestructura y el personal de apoyo que se requiera para la ejecución de TODO el evento, deberá incluir visitas previas.  </t>
    </r>
    <r>
      <rPr>
        <b/>
        <sz val="11"/>
        <rFont val="Calibri"/>
        <family val="2"/>
        <scheme val="minor"/>
      </rPr>
      <t>NOTA:</t>
    </r>
    <r>
      <rPr>
        <sz val="11"/>
        <rFont val="Calibri"/>
        <family val="2"/>
        <scheme val="minor"/>
      </rPr>
      <t xml:space="preserve"> En la columna valor unitario antes de IVA deberá ofertar el valor de TODO el servicio de acuerdo a la naturaleza del evento. </t>
    </r>
  </si>
  <si>
    <t>TOTAL ESTUDIO DE MERCADO</t>
  </si>
  <si>
    <t>TOTAL ESTUDIO DE MERCADO DIR. EVALUACIÓN</t>
  </si>
  <si>
    <t>TOTAL ESTUDIO DE MERCADO OFC. COMUNICACIONES</t>
  </si>
  <si>
    <t xml:space="preserve">TOTAL PRESUPUESTO </t>
  </si>
  <si>
    <t>PROPONENTE A</t>
  </si>
  <si>
    <t>PROPONENTE B</t>
  </si>
  <si>
    <t>PROPONENTE C</t>
  </si>
  <si>
    <t>PROMEDIO B y C VALOR TOTAL</t>
  </si>
  <si>
    <t>VALOR MÁXIMO POR ITEM INCLUIDO IVA</t>
  </si>
  <si>
    <t>Descripción</t>
  </si>
  <si>
    <t>Cantidad</t>
  </si>
  <si>
    <t>Unidad de Medida</t>
  </si>
  <si>
    <t>Características</t>
  </si>
  <si>
    <t>Sonido de 2000 Watts, compuesto por 2 cabinas de 1000 watts autopotenciadas con base, consola minimo de 8 canales analoga, reproductor de CD doble bandeja MP3, Instalado, incluye cableado, acometidas eléctricas,  Kit de 6 microfonos alambricos,  ingeniero de sonido y todos los elementos requeridos para su operación.</t>
  </si>
  <si>
    <t>Microfonía inalámbrica</t>
  </si>
  <si>
    <t>Micrófono de diadema color piel con bateria</t>
  </si>
  <si>
    <t>Micrófono de mano inalámbrico con bateria</t>
  </si>
  <si>
    <t>Micrófono de solapa con bateria</t>
  </si>
  <si>
    <t xml:space="preserve">Pantallas led's de 8 mm pich tecnologia smd out door con estructura portante </t>
  </si>
  <si>
    <t>Pantalla 6.00m X 4.00m</t>
  </si>
  <si>
    <t>Video beam</t>
  </si>
  <si>
    <t>Video Beam 3200 lumenes</t>
  </si>
  <si>
    <t>1 Hora</t>
  </si>
  <si>
    <t>Elaboración de memorias</t>
  </si>
  <si>
    <t>Unidad</t>
  </si>
  <si>
    <t>Diseño de label para CD</t>
  </si>
  <si>
    <t>Producción de label para CD</t>
  </si>
  <si>
    <t>Diseño aviso de prensa tamaño página</t>
  </si>
  <si>
    <t>Diseño aviso de prensa tamaño media página</t>
  </si>
  <si>
    <t>Diseño aviso de prensa tamaño cuarto de página</t>
  </si>
  <si>
    <t>Diseño de pendón 2.00m X 1.00m</t>
  </si>
  <si>
    <t>Diseño de pendón 2.00m X 2.00m</t>
  </si>
  <si>
    <t>Producción de pendón 2.00m X 2.00m</t>
  </si>
  <si>
    <t>Diseño de pendón 3.00m X 1.00m</t>
  </si>
  <si>
    <t>Producción de pendón 3.00m X 1.00m</t>
  </si>
  <si>
    <t>Diseño de pendón 3.00m X 2.00m</t>
  </si>
  <si>
    <t>Producción de pendón 3.00m X 2.00m</t>
  </si>
  <si>
    <t>Diseño de pendón 3.00m X 3.00m, backing</t>
  </si>
  <si>
    <t>Producción de pendón 3.00m X 3.00m, backing</t>
  </si>
  <si>
    <t>Diseño de pendón 6.00m X 1.00m</t>
  </si>
  <si>
    <t>Producción de pendón 6.00m X 1.00m</t>
  </si>
  <si>
    <t>Diseño de pendón 6.00m X 3.00m, backing</t>
  </si>
  <si>
    <t>Producción de pendón 6.00m X 3.00m, backing</t>
  </si>
  <si>
    <t>Base metálica para pendon (desarmable), 2.00m X 1.00m</t>
  </si>
  <si>
    <t>Base metálica tipo pop man (desarmable), 2.00m X 1.00m</t>
  </si>
  <si>
    <t>Estructura tipo araña porta pendon de 2.00m X 2.00m</t>
  </si>
  <si>
    <t>Estructura tipo araña porta pendon de 3.00m X 2.00m</t>
  </si>
  <si>
    <t>Estructura tipo araña porta pendon de 3.00m X 3.00m</t>
  </si>
  <si>
    <t>Valor Unitario  Incluido IVA</t>
  </si>
  <si>
    <t>1. ESTUDIO DE MERCADOS</t>
  </si>
  <si>
    <t>Monitoreo de Medios</t>
  </si>
  <si>
    <t>Servicio de monitoreo de la información publicada en: 1. medios masivos de información teniendo en cuenta divulgación internacional, nacional, regional, local, comunitaria, universitaria, alternativa y/o instituciones educativas de la básica y media, 2. agencias de noticias, 3. portales on line., 4. redes sociales; El monitoreo deberá realizarse de acuerdo con las temáticas de interés que informe el ICFES.  Incluye: Monitoreo, Sistema de Alertas y Reportes. Analisis de influenciadores (Generadores de opinión pública), Resumen ejecutivo del comportamiento en medios (semanal),  Balance mensual y costo beneficio y Reporte de alertas inmediatos cuando la reputación del icfes este en riesgo en medios de comunicación.</t>
  </si>
  <si>
    <t>Mes</t>
  </si>
  <si>
    <t>Por estrategia</t>
  </si>
  <si>
    <t>Series Web</t>
  </si>
  <si>
    <t>Por palabra</t>
  </si>
  <si>
    <t>Desarrollo de un portal infantil dinámico e interactivo.</t>
  </si>
  <si>
    <t>Video</t>
  </si>
  <si>
    <t>por video</t>
  </si>
  <si>
    <t xml:space="preserve"> Deben tener las siguientes características técnicas: Formato: HD 1280x720  o Full HD 1920x1280, Especificaciones: Compresión H264, salida .mov, Color: Planeación y manejo de paleta cromática seg+un look and feel, manejo de fuentes: Fuentes básicas para texto: FUTURA Std e inserción de tipografías tipo handwritten, o manuscritas para resaltar la versatilidad en los videos.Ilustraciones: Hechas en Photoshop e Illustrator, algunos elaborados manualmente para posteriormente ser digitalizados.Software: Principalmente es utilizado el software Aftereffects para hacer montaje de la animación, para esto se requiere también el manejo de otros software como Adobe Illustrato, Adobe Photoshop o Adobe Premier (o Final Cut preferiblemente) Duración 90 segundos</t>
  </si>
  <si>
    <t>Spot institucionales promocionales</t>
  </si>
  <si>
    <t>unidad</t>
  </si>
  <si>
    <t>Duración: 30¨ (seg). formatoHD 1080/59.94i o 1080/29.97i el cual es compatible con la norma NTCS.</t>
  </si>
  <si>
    <t xml:space="preserve">Concepto creativo, preproducción, producción y posproducción de la serie web de 16 capítulos con una duración de 3 a 5 minutos </t>
  </si>
  <si>
    <t>1.OBJETO</t>
  </si>
  <si>
    <t>Desarrollo del portal web infantil</t>
  </si>
  <si>
    <t>Por el desarrollo</t>
  </si>
  <si>
    <t>Traducción sitio web</t>
  </si>
  <si>
    <t>6, DISEÑO DE UNA ESTRATEGIA DE COMUNICACIÓN PARA EL POSICIONAMIENTO DE LAS PRUEBAS SABER 3,5,7 Y 9</t>
  </si>
  <si>
    <t>JEFE</t>
  </si>
  <si>
    <t>Por Capitulo</t>
  </si>
  <si>
    <t>Diseño de cuarderno  15,5 x 22,5 cms, bond 90 grs 4x4 tintas</t>
  </si>
  <si>
    <t>Producción de cuaderno 15,5 x 22,5 cms, bond 90 grs 4x4 tintas</t>
  </si>
  <si>
    <t>Diseño Calendario a 4 tintas</t>
  </si>
  <si>
    <t xml:space="preserve">Videos en exteriores de 90 segnundos, 2.1 Videos para redes sociales del ICFES. </t>
  </si>
  <si>
    <t>Videos en exteriores de 60 segundos 2.1 Videos para redes sociales del ICFES</t>
  </si>
  <si>
    <t>ITEM</t>
  </si>
  <si>
    <t>De acuerdo a las carateristicas técnicas</t>
  </si>
  <si>
    <t>Video de 90 segundos, en exteriores a nivel nacional. Los videos deben incluir el concepto creativo, preproducción (locaciones, casting de actores, libreto, entrevistas, permisos y autorizaciones correspondientes), producción (rodaje)  y pos producción (edición, musicalización, locución y graficacion en los casos que se requiera).  Los costos asociados al servicio los debe asumir  el contratista.</t>
  </si>
  <si>
    <t>Video de 60 segundos, en exteriores a nivel nacional. Los videos deben incluir el concepto creativo, preproducción (locaciones, casting de actores, libreto, entrevistas, permisos y autorizaciones correspondientes), producción (rodaje)  y pos producción (edición, musicalización, locución y graficacion en los casos que se requiera).  Los costos asociados al servicio los debe asumir  el contratista.</t>
  </si>
  <si>
    <t>Esfero / Bolígrafo retractil  - Institucional</t>
  </si>
  <si>
    <t xml:space="preserve">Producción Calendario a 4 tintas. </t>
  </si>
  <si>
    <t>Producción de pendón 2.00m X 1.00m.</t>
  </si>
  <si>
    <t xml:space="preserve"> Deben tener las siguientes características técnicas: Formato: HD 1280x720  o Full HD 1920x1280, Especificaciones: Compresión H264, salida .mov, Color: Planeación y manejo de paleta cromática seg+un look and feel, manejo de fuentes: Fuentes básicas para texto: FUTURA Std e inserción de tipografías tipo handwritten, o manuscritas para resaltar la versatilidad en los videos.Ilustraciones: Hechas en Photoshop e Illustrator, algunos elaborados manualmente para posteriormente ser digitalizados.Software: Principalmente es utilizado el software Aftereffects para hacer montaje de la animación, para esto se requiere también el manejo de otros software como Adobe Illustrato, Adobe Photoshop o Adobe Premier (o Final Cut preferiblemente) Duración 60 segundos</t>
  </si>
  <si>
    <t>Diseño de plegable 2 cuerpos, policromia tamaño media carta cerrado</t>
  </si>
  <si>
    <t>Producción de plegable 2 cuerpos policromia, media carta cerrado</t>
  </si>
  <si>
    <t>Diseño de plegable 3 cuerpos tamaño oficio. Policromia</t>
  </si>
  <si>
    <t>Producción de plegable 3 cuerpos tamaño oficio - policromia. - BIBI</t>
  </si>
  <si>
    <t>Diseño de plegable 4 cuerpos tamaño oficio- policromia. - BIBI</t>
  </si>
  <si>
    <t>Producción de plegable tamaño oficio y carta  4 cuerpos -policromia</t>
  </si>
  <si>
    <t xml:space="preserve">Divulgación  Digital. </t>
  </si>
  <si>
    <t>Estudio de Audio</t>
  </si>
  <si>
    <t>Hora</t>
  </si>
  <si>
    <t>Consola de edición de audio, 4 Microfonos, mezclador y convertidor para difrentes formatos de audio, computador, interface, Preamp, DAW o sofware de producción musical, 2 monitores, controlador MIDI, audifonos, tratamiento acustico. Productor tecnico de audio y auxiliar.</t>
  </si>
  <si>
    <t>Equipo Humano:
• 1 camarógrafo
• 1 Sonidista y asistente de cámara
Equipo Técnico
• 1 Cámara Profesional de Video con entradas de Audio Canon
• 1 juego de micrófonos de Solapa (Transmisor y Receptor)
• 1 Micrófono Boom
• Pilas necesarias para cámara y micrófonos
• Si es necesario, un Kit portátil de luces
• Memorias pertinentes para la Cámara
• Computador para la ingesta o descargue del material.
• Trípode para el micrófono
• Cables necesarios para conexiones.</t>
  </si>
  <si>
    <t>Sonido</t>
  </si>
  <si>
    <t>Memorias usb de 4 gb</t>
  </si>
  <si>
    <t>Armado de Kits</t>
  </si>
  <si>
    <t>Video Streaming - Bogotá</t>
  </si>
  <si>
    <t xml:space="preserve">Disposición de todos los recursos, técnicos, tecnológicos, humanos y de todo orden, para realizar 1 hora de transmisión.
Transmisión vía Streaming de eventos institucionales, de acuerdo con las necesidades de la Entidad. Producción: Un (1) Puesto Fijo para un (1) evento en Bogotá dotado con: Un (1) Tricaster y Blackmagic 3 líneas de entrada digital de video. Un (1) Monitor LCD 9 pulgadas para monitoreo de señal de video. Un (1) Equipo MacBookPro para emisión Wirecast Bogotá.Un (1) Equipo MacBookPro para Blackmagic, Tres (3) Equipos de video profesional HD. Un (1) Kit de Radio intercom. Tres (3) líneas de video HDMI o compuesto hasta de 30 mts C/U.
Un (1) Consola de audio profesional para recepción de sonido del evento y
modulación para emisión. Tres (3) Extensiones XLR de hasta 20 mts.
Kit de Micrófonos de mano y/o solapa
inalámbrico (Opcional para el servicio).
Un (1) Set de Iluminación profesional hasta
por 3000 watts. (Opcional si el evento lo
requiere)
Soporte Humano: Un (1) Director de cámaras y productor de emisión streaming. Tres (3) camarógrafos Grabación y entrega de material en formato digital. Digitalización de video HD, obtenido
en el evento streaming.
</t>
  </si>
  <si>
    <t>Video Streaming - Nacional</t>
  </si>
  <si>
    <t xml:space="preserve">Disposición de todos los recursos, técnicos, tecnológicos, humanos y de todo orden, para realizar 1 hora de transmisión.
Transmisión vía Streaming de eventos institucionales, de acuerdo con las necesidades de la Entidad. Producción: Un (1) Puesto Fijo para un (1) evento en cualquier lugar del territorio Nacional dotado con: Un (1) Tricaster y Blackmagic 3 líneas de entrada digital de video. Un (1) Monitor LCD 9 pulgadas para monitoreo de señal de video. Un (1) Equipo MacBookPro para emisión Wirecast Bogotá.Un (1) Equipo MacBookPro para Blackmagic, Tres (3) Equipos de video profesional HD. Un (1) Kit de Radio intercom. Tres (3) líneas de video HDMI o compuesto hasta de 30 mts C/U.
Un (1) Consola de audio profesional para recepción de sonido del evento y
modulación para emisión. Tres (3) Extensiones XLR de hasta 20 mts.
Kit de Micrófonos de mano y/o solapa
inalámbrico (Opcional para el servicio).
Un (1) Set de Iluminación profesional hasta
por 3000 watts. (Opcional si el evento lo
requiere)
Soporte Humano: Un (1) Director de cámaras y productor de emisión streaming. Tres (3) camarógrafos Grabación y entrega de material en formato digital. Digitalización de video HD, obtenido
en el evento streaming.
</t>
  </si>
  <si>
    <t>Bolsa tamaño carta,  estampada por una cara en policromia.</t>
  </si>
  <si>
    <t>Portapendon Roll up, Color: Plata, Material: Aluminio, Maletín.  Incluye inducción para el montaje y desmontaje del pendón y sus estructura.</t>
  </si>
  <si>
    <t>Con arañas, resistentes y maletín. Varilla en aluminio flexible. Sistema de enganche con ojaletes Incluye inducción para el montaje y desmontaje del pendón y sus estructura.</t>
  </si>
  <si>
    <t xml:space="preserve">El contratista deberá traducir el sitio web de la Entidad y sus principales secciones a idioma inglés. </t>
  </si>
  <si>
    <t>Incluye la transcripción en herramientas ofimáticas de los aspectos que requiera el ICFES - Hasta 4 horas contínuas y la compilación de las presentaciones que se realicen en el marco del evento.</t>
  </si>
  <si>
    <t>Experiencia Especifica en la actividad Objeto de contratacón</t>
  </si>
  <si>
    <t>Experiencia General</t>
  </si>
  <si>
    <t>Actualización de la Intranet</t>
  </si>
  <si>
    <t>Diseño Plegables a 4 cuerpos 4x4 tintas propalcote 150 gramos.</t>
  </si>
  <si>
    <t>Produccón Plegables a 4 cuerpos 4x4 tintas propalcote 150 gramos.</t>
  </si>
  <si>
    <t>Diseño  Libretas de 50 páginas de tamaño 17 x 21,5 cms pegadas en el lomo caratula en maule calibre 18 y hojas internas en papel bond 90 gramos todo impreso a 4x0 tintas</t>
  </si>
  <si>
    <t>Producción  Libretas de 50 páginas de tamaño 17 x 21,5 cms pegadas en el lomo caratula en maule calibre 18 y hojas internas en papel bond 90 gramos todo impreso a 4x0 tintas</t>
  </si>
  <si>
    <t>Diseño Guías de trabajo de 5 páginas, 2 hojas 4x4 tintas y 1 hoja 4x0 tintas en papel bond 90 gramos grapadas.</t>
  </si>
  <si>
    <t>Producción Guías de trabajo de 5 páginas, 2 hojas 4x4 tintas y 1 hoja 4x0 tintas en papel bond 90 gramos grapadas.</t>
  </si>
  <si>
    <t>Potencializar la Intranet de la institucón  como una herramienta 20 por la cual el Icfes incursione en una cultura digital, colaborativa y de información, lo cual repercuta en un proceso de branding interno.</t>
  </si>
  <si>
    <t>2. 1 AUDIOVISUAL</t>
  </si>
  <si>
    <t>2,1,1</t>
  </si>
  <si>
    <t>2,1,2</t>
  </si>
  <si>
    <t>2,1,3</t>
  </si>
  <si>
    <t>2,1,4</t>
  </si>
  <si>
    <t xml:space="preserve">Disposición de todos los recursos, técnicos, tecnológicos, humanos y de todo orden, para realizar 1 hora de transmisión.
Transmisión vía Streaming de eventos institucionales, de acuerdo con las necesidades de la Entidad. Producción: Un (1) Puesto Fijo para un (1) evento Nacional dotado con: Un (1) Tricaster y Blackmagic 3 líneas de entrada digital de video. Un (1) Monitor LCD 9 pulgadas para monitoreo de señal de video. Un (1) Equipo MacBookPro para emisión Wirecast Bogotá.Un (1) Equipo MacBookPro para Blackmagic, Tres (3) Equipos de video profesional HD. Un (1) Kit de Radio intercom. Tres (3) líneas de video HDMI o compuesto hasta de 30 mts C/U.
Un (1) Consola de audio profesional para recepción de sonido del evento y
modulación para emisión. Tres (3) Extensiones XLR de hasta 20 mts.
Kit de Micrófonos de mano y/o solapa
inalámbrico (Opcional para el servicio).
Un (1) Set de Iluminación profesional hasta
por 3000 watts. (Opcional si el evento lo
requiere)
Soporte Humano: Un (1) Director de cámaras y productor de emisión streaming. Tres (3) camarógrafos Grabación y entrega de material en formato digital. Digitalización de video HD, obtenido
en el evento streaming.
</t>
  </si>
  <si>
    <t>Video Streaming  - Nacional</t>
  </si>
  <si>
    <t>2,2.MATERIAL IMPRESO Y DISEÑO  PARA DIVULGACIÓN INSTITUCIONAL</t>
  </si>
  <si>
    <t>2,3. DISEÑO E IMPRESIÓN DE MATERIAL PARA LOS TALLERES DE DIVULGACIÓN DE LAS PRUEBAS SABER.</t>
  </si>
  <si>
    <t>2,4.  CANALES DIGITALES</t>
  </si>
  <si>
    <t>2,4,1</t>
  </si>
  <si>
    <t>2,4,2</t>
  </si>
  <si>
    <t>2,4,3</t>
  </si>
  <si>
    <t>2,5. COMUNICACIÓN INTERNA</t>
  </si>
  <si>
    <t>2,5,1</t>
  </si>
  <si>
    <t>2,6.  MONITOREO DE MEDIOS</t>
  </si>
  <si>
    <t>Piezas audiovisuales con graphic recording. 60 Segundos</t>
  </si>
  <si>
    <t>Piezas audiovisuales con graphic recording. 90 Segundos</t>
  </si>
  <si>
    <t>Produccion de carpeta institucional - Tamaño carta y oficio troquelada con bolsillo interior. Policromia</t>
  </si>
  <si>
    <t>Equipo de Reporteria</t>
  </si>
  <si>
    <t>N/A</t>
  </si>
  <si>
    <t>Nombre de la empresa: MARKETMEDIOS COMUNICACIONES</t>
  </si>
  <si>
    <t>Tiempo de existencia del proponente: 13 AÑOS</t>
  </si>
  <si>
    <t xml:space="preserve">Régimen Tributario: </t>
  </si>
  <si>
    <t>Calidad de Mipyme:</t>
  </si>
  <si>
    <t>Nombre de la empresa</t>
  </si>
  <si>
    <t>Tiempo de existencia del proponente</t>
  </si>
  <si>
    <t>Calidad de Mipyme</t>
  </si>
  <si>
    <t>Régimen Tributario</t>
  </si>
  <si>
    <t xml:space="preserve">OBSERVACIONES </t>
  </si>
  <si>
    <t>Un dia de rodjae , mas dias deberan ser recotizados  -  (valor correspondiente a 8 horas)</t>
  </si>
  <si>
    <t>Un dia de rodjae , mas dias deberan ser recotizados - (valor correspondiente a 8 horas)</t>
  </si>
  <si>
    <t>(valor correspondiente a 8 horas)</t>
  </si>
  <si>
    <t>Euipo de Reporteria</t>
  </si>
  <si>
    <t>Impresos en adhesivo a 4 X 0 tintas</t>
  </si>
  <si>
    <t>cantidad minima a producir</t>
  </si>
  <si>
    <t>Impreso a 4 X 4 tintas, sobre esmaltado importado de 150 grs</t>
  </si>
  <si>
    <t>Esfero promocional marcado a una tinta</t>
  </si>
  <si>
    <t>Producción de carpeta institucional - Tamaño carta y oficio troquelada con bolsillo interior. Policromia</t>
  </si>
  <si>
    <t>Impresas a 4 X 4 tintas, sobre esmlatado importado de 300 grs, con plastico brillante por una cara.</t>
  </si>
  <si>
    <t>Portada y contraportada impresas a 4 X 0 tintas. 80 hojas interiores a 1 X 1 tintas sobre bond de 90 grs.</t>
  </si>
  <si>
    <t>Calendario de bolsillo</t>
  </si>
  <si>
    <t>Impresos a 4 X 4 tintas, sobre esmaltado importado de 350 grs, tamaño de 9 X 5,5 cms, con plastico por las 2 caras.</t>
  </si>
  <si>
    <t>Producción Plegables a 4 cuerpos 4x4 tintas propalcote 150 gramos.</t>
  </si>
  <si>
    <t>Valor por Hora</t>
  </si>
  <si>
    <t xml:space="preserve">Solo creación de la estrategia de Campaña </t>
  </si>
  <si>
    <t>Este precio equivale a un FEE mensual para realizar los ajustes de ingenieria</t>
  </si>
  <si>
    <t xml:space="preserve">Esto equivale al alquiler de la herramienta de monitoreo y 20 horas mensuales para el analisis y reportes </t>
  </si>
  <si>
    <t>C01</t>
  </si>
  <si>
    <t>C02</t>
  </si>
  <si>
    <t>PROMEDIO VALOR UNITARIO</t>
  </si>
  <si>
    <t>CO1</t>
  </si>
  <si>
    <t>MARKETMEDIOS COMUNICACIONES</t>
  </si>
  <si>
    <t>CO2</t>
  </si>
  <si>
    <t>REP GREY WORLDWIDE SAS</t>
  </si>
  <si>
    <t xml:space="preserve"> VALOR TOTAL</t>
  </si>
  <si>
    <t>McCANN - ERICKSON CORPORATION S.A.</t>
  </si>
  <si>
    <t>68 años</t>
  </si>
  <si>
    <t>Regimen Común - Gran contribuyente y autorretenedor.</t>
  </si>
  <si>
    <t>Diseño de carpeta institucional - Tamaño carta y oficio troquelada con bolsillo interior. Policromia</t>
  </si>
  <si>
    <t>Sin estructura</t>
  </si>
  <si>
    <t>CO3</t>
  </si>
  <si>
    <t>C03</t>
  </si>
  <si>
    <t>C04</t>
  </si>
  <si>
    <t>OPTIMA TM SAS</t>
  </si>
  <si>
    <t>15 años</t>
  </si>
  <si>
    <t>Mipyme</t>
  </si>
  <si>
    <t>10 años</t>
  </si>
  <si>
    <t>Común</t>
  </si>
  <si>
    <t>Carrera 18 No. 118-08 - PBX: (571)6373702 - FAX: 6372503</t>
  </si>
  <si>
    <t>www.optimatm.com - e-mail: optima@optimatm.com - Bogotá, D.C., Colombia</t>
  </si>
  <si>
    <t>OPTIMA</t>
  </si>
  <si>
    <t>Es la Hora??</t>
  </si>
  <si>
    <t>Incluye la grabacion de memorias de los aspectos que requiera el ICFES -  la compilación de las presentaciones que se realicen en el marco del evento.</t>
  </si>
  <si>
    <t>Fee de Agencia</t>
  </si>
  <si>
    <t>Total Antes de Fee de agencia</t>
  </si>
  <si>
    <t>Fee de agencia</t>
  </si>
  <si>
    <t>Fee de Agencia (7%) Antes de IVA</t>
  </si>
  <si>
    <t>Total Sin IVA</t>
  </si>
  <si>
    <t>Total antes de IVA</t>
  </si>
  <si>
    <t>Gran Total</t>
  </si>
  <si>
    <t>MEDIA GEOMETRICA VALOR UNITARIO</t>
  </si>
  <si>
    <t>DÍA (8 Horas)</t>
  </si>
  <si>
    <t>Divulgación  Digital</t>
  </si>
  <si>
    <t>2.5. COMUNICACIÓN INTERNA</t>
  </si>
  <si>
    <t>2.6.  MONITOREO DE MEDIOS</t>
  </si>
  <si>
    <t>2.2. MATERIAL IMPRESO Y DISEÑO  PARA DIVULGACIÓN INSTITUCIONAL</t>
  </si>
  <si>
    <t>2.3. DISEÑO E IMPRESIÓN DE MATERIAL PARA LOS TALLERES DE DIVULGACIÓN DE LAS PRUEBAS SABER.</t>
  </si>
  <si>
    <t>2.4.  CANALES DIGITALES</t>
  </si>
  <si>
    <t>1. ESTUDIO DE MERCADO</t>
  </si>
  <si>
    <t>BIKE MEDIA</t>
  </si>
  <si>
    <t>1,5 AÑOS</t>
  </si>
  <si>
    <t>Grupo 2</t>
  </si>
  <si>
    <t xml:space="preserve">Amplia Experiencia en Planeacion, desarrollo y ejecucion de contenidos que garanticen el cumplimiento de las Estrategias de Comunicación de nuestros clientes tanto en Colombia como en el exterior </t>
  </si>
  <si>
    <t>Diseño y desarrollo de piezas y contenido para medios de comunicacion que permitan garantizar el cumnplimiento de las estrategias de comunicación externa e interna de nuestros clientes, llevando a cabo un servicio eficiente de monitoreo de medios y desarrollando medios propios como intranet y portales web afines con la Estrategia Integral de Comunicaciones</t>
  </si>
  <si>
    <t>Comun</t>
  </si>
  <si>
    <t>INFORMACIÓN SECOP</t>
  </si>
  <si>
    <t>Item</t>
  </si>
  <si>
    <t>Valor unidad</t>
  </si>
  <si>
    <t>Entidad</t>
  </si>
  <si>
    <t>Link</t>
  </si>
  <si>
    <t>Mterial Audiovisual</t>
  </si>
  <si>
    <t>2014 -2015</t>
  </si>
  <si>
    <t xml:space="preserve">Realización, Post Producción, tomas de aire de 1 video </t>
  </si>
  <si>
    <t>Fondo adaptación</t>
  </si>
  <si>
    <t>Estudios Previos video Gramalote</t>
  </si>
  <si>
    <t>Creación, producción y emisión de 600 cuñas radiales de 20 s para promoción de la campaña de seguridad "En Neiva nos cuidamos entre todos"</t>
  </si>
  <si>
    <t>Alcaldía de Neiva</t>
  </si>
  <si>
    <t>https://www.contratos.gov.co/consultas/detalleProceso.do?numConstancia=15-1-136712</t>
  </si>
  <si>
    <t>Material Impreso</t>
  </si>
  <si>
    <t>Aviso en Revista tamaño 1/2 de página</t>
  </si>
  <si>
    <t>Superintendecia de Industria y Comercio</t>
  </si>
  <si>
    <t>https://www.contratos.gov.co/consultas/detalleProceso.do?numConstancia=14-1-116903</t>
  </si>
  <si>
    <t>Aviso en Revista tamaño 1/4 de página</t>
  </si>
  <si>
    <t>Plegable de 3 cuerpos 4 x 4 en papel propalcote 150 gra</t>
  </si>
  <si>
    <t>Alcaldía Local de Tesauquiillo</t>
  </si>
  <si>
    <t>https://www.contratos.gov.co/consultas/detalleProceso.do?numConstancia=15-11-4413173</t>
  </si>
  <si>
    <t>Plegable 4 cuerpos 4 x 4 en papel propalcote 150 gra. 21,5 x 36</t>
  </si>
  <si>
    <t>Esferos con impresión de marca</t>
  </si>
  <si>
    <t>Alcaldía Mayor de Bogotá</t>
  </si>
  <si>
    <t>file:///C:/Users/dbuitrago/Downloads/DA_PROCESO_15-11-4212798_01002025_16217272.pdf</t>
  </si>
  <si>
    <t>11,5 x 18 cms (cerrado) 50 hojas internas papel bond 75 grs, con marca de agua portadas en propalcote esmaltado brillante de 250 grs a 4 tintas anilladas</t>
  </si>
  <si>
    <t>Dian</t>
  </si>
  <si>
    <t>https://www.contratos.gov.co/consultas/detalleProceso.do?numConstancia=14-1-114899</t>
  </si>
  <si>
    <t>Calendario con programador tamaño 22 x 15,7 cms 13 hojas interiores en propalcote 200 gr tinta 4 x 4 base laminado a anbos lados, carton ultra 0,48 mm</t>
  </si>
  <si>
    <t>Alcaldía de Itagüi</t>
  </si>
  <si>
    <t>https://www.contratos.gov.co/consultas/detalleProceso.do?numConstancia=15-1-136964</t>
  </si>
  <si>
    <t>2014
HISTORICOS ICFES</t>
  </si>
  <si>
    <t>CONVOCATORIA</t>
  </si>
  <si>
    <t>2015
HISTORICOS ICFES</t>
  </si>
  <si>
    <t>CTRY</t>
  </si>
  <si>
    <t>CP04-204</t>
  </si>
  <si>
    <t>CP-006-2014</t>
  </si>
  <si>
    <t>Producción de plegable 3 cuerpos tamaño oficio - policromia.</t>
  </si>
  <si>
    <t xml:space="preserve">Diseño de plegable 4 cuerpos tamaño oficio- policromia. </t>
  </si>
  <si>
    <t>ICFES 2015</t>
  </si>
  <si>
    <t xml:space="preserve">Formato No. 8 - Oferta Económica - Valores Unitarios </t>
  </si>
  <si>
    <t>SERVICIOS DE OPERADOR LOGÍSTICO</t>
  </si>
  <si>
    <t>1. TALENTO HUMANO</t>
  </si>
  <si>
    <t>Valor Unitario antes de IVA</t>
  </si>
  <si>
    <t>Coordinador general</t>
  </si>
  <si>
    <t>Un Evento</t>
  </si>
  <si>
    <t>Ver requerimientos en Anexo Técnico</t>
  </si>
  <si>
    <t>Auxiliar logístico</t>
  </si>
  <si>
    <t>Una Hora</t>
  </si>
  <si>
    <t>Un año de experiencia en actividades de logística de eventos</t>
  </si>
  <si>
    <t>Mesero</t>
  </si>
  <si>
    <t>Un año de experiencia como mesero</t>
  </si>
  <si>
    <t>Brigadista</t>
  </si>
  <si>
    <t>Un año de experiencia como brigadista</t>
  </si>
  <si>
    <t>Subtotal 1 - Sumatoria de valores unitarios de talento humanos</t>
  </si>
  <si>
    <t>2. SERVICIOS LOGÍSTICOS</t>
  </si>
  <si>
    <t>Carpas y Accesorios</t>
  </si>
  <si>
    <t>8 Horas</t>
  </si>
  <si>
    <t>Carpa de 2.00m X 2.00m</t>
  </si>
  <si>
    <t>Carpa de 3.00m X 3.00m</t>
  </si>
  <si>
    <t>Carpa de 4.00m X 4.00m</t>
  </si>
  <si>
    <t>Carpa de 6.00m X 6.00m</t>
  </si>
  <si>
    <t>Carpa de 12.00m X 6.00m</t>
  </si>
  <si>
    <t>Carpa Tipo Hangar, 12.00m X 48.00m</t>
  </si>
  <si>
    <t>Sonido Profesional</t>
  </si>
  <si>
    <t>Sonido de 1000 Watts, compuesto por 2 cabinas de 500 watts autopotenciadas con base, consola minimo de 8 canales analoga, reproductor de CD doble bandeja MP3, Instalado, incluye cableado, acometidas eléctricas,  Kit de 6 microfonos alambricos,  ingeniero de sonido y todos los elementos requeridos para su operación.</t>
  </si>
  <si>
    <t>Sonido de 4000 Watts, compuesto por 4 cabinas de 1000 watts autopotenciadas con base, consola minimo de 12 canales analoga, reproductor de CD doble bandeja MP3, Instalado, incluye cableado,acometidas eléctricas, ingeniero de sonido y todos los elementos requeridos para su operación.</t>
  </si>
  <si>
    <t>Sonido 6000 a 8000 watts: 2 sistemas line array tipo columna para conferencias  corporativas, las cuales necesitan de poco espacio en escenario, con las siguientes características: Subwoofer activo, bass-reflex, Dos parlantes de neodymium de 8” (200mm) de alta excursión con bobinas de 2” (50 mm), Respuesta de frecuencia de 50Hz a 180Hz, Amplificador de potencia Class D de 600W RMS con fuente de alimentación switching, Procesador DSP con 4 presets, Panel de control con combo XLR/Jack stereo de entrada y link, XLR de salida, volumen, 0°-180° phase switch, status LED, consola minimo de 16 canales digital, reproductor de CD doble bandeja MP3, Instalado, incluye cableado, acometidas eléctricas,  Kit de 6 microfonos alambricos, ingeniero de sonido y todos los elementos requeridos para su operación.</t>
  </si>
  <si>
    <t>Sonido line array de 10000 Watts, compuesto por 6 cabinas autopotenciadas (3 x lado), dos bajos, consola minimo de 16 canales digital, reproductor de CD doble bandeja MP3 Instalado, incluye cableado, acometidas eléctricas,  Kit de 6 microfonos alambricos, ingeniero de sonido y todos los elementos requeridos para su operación.</t>
  </si>
  <si>
    <t>Preamplificador</t>
  </si>
  <si>
    <t>Ecualizador de 10 bandas por canal</t>
  </si>
  <si>
    <t>Tarimas</t>
  </si>
  <si>
    <t>1.20m X 1.20m</t>
  </si>
  <si>
    <t>3.60m X 1.20m</t>
  </si>
  <si>
    <t>3.60m X 3.60m</t>
  </si>
  <si>
    <t>4.80m X 3.60m</t>
  </si>
  <si>
    <t>4.80m X 4.80m</t>
  </si>
  <si>
    <t>6.00m X 4.80m</t>
  </si>
  <si>
    <t>6.00m X 6.00m</t>
  </si>
  <si>
    <t>7.20m X 6.00m</t>
  </si>
  <si>
    <t>9.00m X 6.00m</t>
  </si>
  <si>
    <t>Atril</t>
  </si>
  <si>
    <t>1 día</t>
  </si>
  <si>
    <t>Transparente en acrílico</t>
  </si>
  <si>
    <t>Pantalla 1.50m X 2.00 m</t>
  </si>
  <si>
    <t>Pantalla 3.00m X 4.00m</t>
  </si>
  <si>
    <t xml:space="preserve">Pantallas led's de 3 mm pich tecnologia smd in door con estructura portante </t>
  </si>
  <si>
    <t>Pantalla 1.50 m X 2.00 m</t>
  </si>
  <si>
    <t xml:space="preserve">Pantalla de plasma con base metálica. </t>
  </si>
  <si>
    <t>Pantalla de 42"</t>
  </si>
  <si>
    <t>Pantalla de 47"</t>
  </si>
  <si>
    <t>Pantalla de 50"</t>
  </si>
  <si>
    <t>Computadores e impresoras</t>
  </si>
  <si>
    <t>Computador portátil dotado con herramientas ofimáticas licenciadas, con windws xp o superior debidamente licenciado, con procesador core i 3 o superior, con 4 Gb de memoria RAM o superior,  con disco duro de 250 Gb o superior, pantalla de 14 pulgadas o superior, mouse inalámbrico o de conexión USB,  Patmouse, quemador de DVD y CD.</t>
  </si>
  <si>
    <t>Computador de escritorio dotado con herramientas ofimáticas licenciadas, con windws xp o superior debidamente licenciado, con procesador pentium 5 o superior, con 4 Gb de memoria RAM o superior,  con disco duro de 250 Gb o superior, pantalla plana de 17 pulgadas o superior, mouse inalámbrico o de conexión USB,  Patmouse, quemador de DVD y CD.</t>
  </si>
  <si>
    <t>Impresora de inyección de tinta, con capacidad para imprimir 100 hojas por minuto o superior</t>
  </si>
  <si>
    <t>Multifuncional (impresora, fax, scaner)</t>
  </si>
  <si>
    <t>4 Horas</t>
  </si>
  <si>
    <t>Video Beam 2000 lumenes</t>
  </si>
  <si>
    <t>Video Beam 5200 lumenes</t>
  </si>
  <si>
    <t>Circuito cerrado de VIDEO</t>
  </si>
  <si>
    <t>Circuito de video compuesto por 3 camaras profesionales hd, puesto fijo digital con mixer de 8 salidas, intercom 4 monitores, 3 camarografos un tecnico en video y un director.</t>
  </si>
  <si>
    <t>Servicio de traducción simultánea y/o lenguaje de señas</t>
  </si>
  <si>
    <t>dia</t>
  </si>
  <si>
    <t>Incluye todos los elementos para realizar la traducción simultánea inglés-español o español inglés para un grupo de hasta 10 personas</t>
  </si>
  <si>
    <t>Incluye todos los elementos para realizar la traducción simultánea inglés-español o español inglés para un grupo de entre 11 y 20 personas</t>
  </si>
  <si>
    <t>Incluye todos los elementos para realizar la traducción simultánea inglés-español o español inglés para un grupo de entre 21 y 30 personas</t>
  </si>
  <si>
    <t>Incluye todos los elementos para realizar la traducción simultánea inglés-español o español inglés para un grupo de entre 31 y 40 personas</t>
  </si>
  <si>
    <t>Incluye todos los elementos para realizar la traducción simultánea inglés-español o español inglés para un grupo de entre 41 y 50 personas</t>
  </si>
  <si>
    <t>Planta eléctrica</t>
  </si>
  <si>
    <t>Planta de 6 kva insonora</t>
  </si>
  <si>
    <t>Planta de 75 kva insonora</t>
  </si>
  <si>
    <t>Planta de 120 kva insonora</t>
  </si>
  <si>
    <t>Planta de 135 kva insonora</t>
  </si>
  <si>
    <t>Planta de 30 kva insonora</t>
  </si>
  <si>
    <t>Planta de 200 kva insonora</t>
  </si>
  <si>
    <t>Techos y estructuras</t>
  </si>
  <si>
    <t>Techo 8.00m X 6.00m</t>
  </si>
  <si>
    <t>Techo 12.00m X 6.00m</t>
  </si>
  <si>
    <t>9 Horas</t>
  </si>
  <si>
    <t>Techo 12.00m X 12.00m</t>
  </si>
  <si>
    <t>Techo 12.00m X 18.00m</t>
  </si>
  <si>
    <t>Sillas</t>
  </si>
  <si>
    <t>Rimax</t>
  </si>
  <si>
    <t>Silla alta</t>
  </si>
  <si>
    <t xml:space="preserve">Ejecutivas  en malla negra plegables </t>
  </si>
  <si>
    <t>Sofá</t>
  </si>
  <si>
    <t>Manteles</t>
  </si>
  <si>
    <t>Para tablón Grandes</t>
  </si>
  <si>
    <t>Para mesa rimax</t>
  </si>
  <si>
    <t>Para mesas redondas</t>
  </si>
  <si>
    <t>Mesas</t>
  </si>
  <si>
    <t>Mesa Rectangular</t>
  </si>
  <si>
    <t>Mesa Redonda</t>
  </si>
  <si>
    <t>Mesa Cuadrada</t>
  </si>
  <si>
    <t>Tablones para piso en zona verde</t>
  </si>
  <si>
    <t>Tablón de 4.80m X 4,80m</t>
  </si>
  <si>
    <t>Biombos para divisiones</t>
  </si>
  <si>
    <t>Biombo en madera color blanco de 1,20m X 2,80m</t>
  </si>
  <si>
    <t>Biombo en madera color blanco de 1,20m X 1,80m</t>
  </si>
  <si>
    <t xml:space="preserve">Baños portátiles </t>
  </si>
  <si>
    <t>Unidad /día</t>
  </si>
  <si>
    <t>Baño portátil con lavamanos</t>
  </si>
  <si>
    <t>Unidad / día</t>
  </si>
  <si>
    <t>Baño portátil con lavamanos para infantes</t>
  </si>
  <si>
    <t>Baño portátil con lavamanos para personas en condición de discapacidad.</t>
  </si>
  <si>
    <t>Primeros auxilios</t>
  </si>
  <si>
    <t>MEC / día</t>
  </si>
  <si>
    <t>MEC PRIMEROS AUXILIOS. Ambulancia Medicalizada con personal médico y enfermero.</t>
  </si>
  <si>
    <t>Gestión de permisos</t>
  </si>
  <si>
    <t>Paquete</t>
  </si>
  <si>
    <t>Gestión de todos los permisos que se requieran para realizar un evento en el lugar que le informe el Icfes al proveedor, el paquete puede incluir, sin limitarse a estos: Alcaldía local, Bomberos, Cruz Roja, Defensa Civil, Policía Nacional, Sayco y Acimpro y Secretaría de Gobierno.</t>
  </si>
  <si>
    <t>Transporte terrestre</t>
  </si>
  <si>
    <t>Bus para 40 personas, mod 2010 en adelante.</t>
  </si>
  <si>
    <t>Aerovan para 15 Personas, mod 2010 en adelante.</t>
  </si>
  <si>
    <t>Automóvil para 4 personas, mod 2010 en adelante.</t>
  </si>
  <si>
    <t>Vehículo de carga hasta 1 Tonelada</t>
  </si>
  <si>
    <t>Vehículo de carga hasta 3 Toneladas</t>
  </si>
  <si>
    <t>Vehículo de carga hasta 5 Toneladas</t>
  </si>
  <si>
    <t>Salones / Auditorios /Teatros</t>
  </si>
  <si>
    <t>Capacidad para 1000 personas</t>
  </si>
  <si>
    <t>Capacidad para 500 personas</t>
  </si>
  <si>
    <t>Capacidad para 250 personas</t>
  </si>
  <si>
    <t>Capacidad para 100 personas</t>
  </si>
  <si>
    <t>Capacidad para 50 personas</t>
  </si>
  <si>
    <t>Servicio de internet inalámbrico de alta velocidad</t>
  </si>
  <si>
    <t>Capacidad para 2 equipos</t>
  </si>
  <si>
    <t>Capaciadad entre 3 y 5 equipos</t>
  </si>
  <si>
    <t>Capaciadad entre 6 y 10 equipos</t>
  </si>
  <si>
    <t>Servicio de Wi Fi de 5Gb  a 10 Gb</t>
  </si>
  <si>
    <t>Servicio de Wi Fi superior a 10 Gb</t>
  </si>
  <si>
    <t>Básica: Incluye la transcripción en herramientas ofimáticas de los aspectos que requiera el ICFES - Hasta 4 horas contínuas y la compilación de las presentaciones que se realicen en el marco del evento.</t>
  </si>
  <si>
    <t>Video: Incluye el registro en video HD de los aspectos que requiera el ICFES - Hasta 4 horas contínuas y la compilación de las presentaciones que se realicen en el marco del evento.</t>
  </si>
  <si>
    <t>Video Streaming</t>
  </si>
  <si>
    <t xml:space="preserve">1 hora de </t>
  </si>
  <si>
    <t>Disposición de todos los recursos, técnicos, tecnológicos, humanos y de todo orden, para realizar 1 hora de transmisión.
Transmisión vía Streaming de eventos institucionales, de acuerdo con las necesidades de la Entidad.</t>
  </si>
  <si>
    <t>Hidratación</t>
  </si>
  <si>
    <t xml:space="preserve">Vaso </t>
  </si>
  <si>
    <t>Botella</t>
  </si>
  <si>
    <t>Bolsa</t>
  </si>
  <si>
    <t>Botellón</t>
  </si>
  <si>
    <t>Vasos desechables</t>
  </si>
  <si>
    <t>50 Unidades</t>
  </si>
  <si>
    <t>Tamaño grande</t>
  </si>
  <si>
    <t>Tamaño mediano</t>
  </si>
  <si>
    <t>Tamaño pequeño</t>
  </si>
  <si>
    <t>Subtotal 2 - Sumatoria de valores unitarios de servicios logísticos</t>
  </si>
  <si>
    <t xml:space="preserve">3. SERVICIOS ESPECIALES SEMINARIO INTERNACIONAL </t>
  </si>
  <si>
    <t xml:space="preserve">SERVICIOS ESPECIALES SEMINARIO INTERNACIONAL </t>
  </si>
  <si>
    <t>Salón dotado</t>
  </si>
  <si>
    <t xml:space="preserve">Salón con capacidad para 700 personas, debe incluir sillas dispuestas en forma de auditorio, dos telones para proyección, tarima y atril. </t>
  </si>
  <si>
    <t>Salón con capacidad para 350 personas, debe incluir sillas dispuestas en forma de auditorio, telón para proyección, tarima y atril.</t>
  </si>
  <si>
    <t xml:space="preserve">Salón para reuniones de trabajo equipado con sillas y mesas para realizar reuniones de trabajo, para 10 personas. </t>
  </si>
  <si>
    <t>Registro de base de datos actualizado</t>
  </si>
  <si>
    <r>
      <rPr>
        <u/>
        <sz val="8"/>
        <color theme="1"/>
        <rFont val="Arial Narrow"/>
        <family val="2"/>
      </rPr>
      <t>Base de datos de asistentes:</t>
    </r>
    <r>
      <rPr>
        <sz val="8"/>
        <color theme="1"/>
        <rFont val="Arial Narrow"/>
        <family val="2"/>
      </rPr>
      <t xml:space="preserve"> La base de datos con los invitados o entidades a invitar será suministrada por el ICFES, consta de aproximadamente 5.000 registros; ésta se compone de una lista de invitados y de perfiles (Ej: Decanos de las facultades de educación de las Universidades). Para estos invitados El CONTRATISTA deberá buscar el contacto (correo electrónico, dirección y teléfono.</t>
    </r>
  </si>
  <si>
    <t>Invitación enviada</t>
  </si>
  <si>
    <r>
      <rPr>
        <u/>
        <sz val="8"/>
        <color theme="1"/>
        <rFont val="Arial Narrow"/>
        <family val="2"/>
      </rPr>
      <t>Invitaciones VIP:</t>
    </r>
    <r>
      <rPr>
        <sz val="8"/>
        <color theme="1"/>
        <rFont val="Arial Narrow"/>
        <family val="2"/>
      </rPr>
      <t xml:space="preserve"> El ICFES suministrará aproximadamente doscientas (200) invitaciones y El CONTRATISTA deberá enviarlas a través de correo certificado a las direcciones ubicadas en el territorio nacional donde se encuentre el invitado.</t>
    </r>
  </si>
  <si>
    <t>Correo electrónico enviado y confirmado</t>
  </si>
  <si>
    <r>
      <rPr>
        <u/>
        <sz val="8"/>
        <color theme="1"/>
        <rFont val="Arial Narrow"/>
        <family val="2"/>
      </rPr>
      <t>Invitaciones correo electrónico – masivo:</t>
    </r>
    <r>
      <rPr>
        <sz val="8"/>
        <color theme="1"/>
        <rFont val="Arial Narrow"/>
        <family val="2"/>
      </rPr>
      <t xml:space="preserve"> El ICFES le entregará al CONTRATISTA el diseño de la invitación electrónica y este deberá enviarla de forma masiva a los invitados que el supervisor del contrato le indique.</t>
    </r>
  </si>
  <si>
    <t>Afiche entregado</t>
  </si>
  <si>
    <r>
      <rPr>
        <u/>
        <sz val="8"/>
        <color theme="1"/>
        <rFont val="Arial Narrow"/>
        <family val="2"/>
      </rPr>
      <t>Envío de afiches:</t>
    </r>
    <r>
      <rPr>
        <sz val="8"/>
        <color theme="1"/>
        <rFont val="Arial Narrow"/>
        <family val="2"/>
      </rPr>
      <t xml:space="preserve"> El envío de los afiches (posters) se debe hacer a ciento cincuenta (150)  destinos en todo el país aproximadamente (universidades, centros de investigación, etc.) Los afiches deben ser enviados en paquetes envueltos en plástico (tipo rollo) y con un Sticker en el que se indican los datos de la persona a la cual están dirigidos. 
El ICFES entrega los afiches sin envolver y El CONTRATISTA debe encargase de prepararlos para enviarlos. Los afiches se acompañan de una carta cuyo modelo lo proporciona el ICFES. Se envían por correo certificado y se deberá entregar al ICFES un reporte de los envíos realizados. Los afiches miden aproximadamente 50 cm x 35 cm.</t>
    </r>
  </si>
  <si>
    <t>Persona Confirmada</t>
  </si>
  <si>
    <r>
      <rPr>
        <u/>
        <sz val="8"/>
        <color theme="1"/>
        <rFont val="Arial Narrow"/>
        <family val="2"/>
      </rPr>
      <t>Confirmación de asistencia y control de recaudos</t>
    </r>
    <r>
      <rPr>
        <sz val="8"/>
        <color theme="1"/>
        <rFont val="Arial Narrow"/>
        <family val="2"/>
      </rPr>
      <t>: Se debe realizar confirmación de asistencia vía telefónica a las personas invitadas VIP (200 aprox.) y entregar actualizada la base de datos suministrada por el ICFES junto con el reporte sobre avance de la convocatoria de acuerdo con la periodicidad solicitada por el supervisor del contrato o la persona encargada de coordinar el evento por parte del ICFES.  El reporte además, deberá incluir información sobre el pago por parte de los asistentes con el fin de llevar el "control de recaudos", el cual consiste en recopilar los recibos de pago de las inscripciones realizadas por los interesados en participar.</t>
    </r>
  </si>
  <si>
    <t>Línea Telefónica habilitada</t>
  </si>
  <si>
    <r>
      <rPr>
        <u/>
        <sz val="8"/>
        <color theme="1"/>
        <rFont val="Arial Narrow"/>
        <family val="2"/>
      </rPr>
      <t>Atención personalizada interesados en el evento</t>
    </r>
    <r>
      <rPr>
        <sz val="8"/>
        <color theme="1"/>
        <rFont val="Arial Narrow"/>
        <family val="2"/>
      </rPr>
      <t xml:space="preserve">: El operador logístico deberá proveer una línea telefónica de atención en la cual se brinde información general del evento a las personas interesadas.  </t>
    </r>
    <r>
      <rPr>
        <b/>
        <u/>
        <sz val="8"/>
        <color theme="1"/>
        <rFont val="Arial Narrow"/>
        <family val="2"/>
      </rPr>
      <t>POR DÍA</t>
    </r>
  </si>
  <si>
    <t>Asistente registrado, con escarapela diligenciada y entregada</t>
  </si>
  <si>
    <r>
      <rPr>
        <u/>
        <sz val="8"/>
        <color theme="1"/>
        <rFont val="Arial Narrow"/>
        <family val="2"/>
      </rPr>
      <t>Control y registro de los asistentes:</t>
    </r>
    <r>
      <rPr>
        <sz val="8"/>
        <color theme="1"/>
        <rFont val="Arial Narrow"/>
        <family val="2"/>
      </rPr>
      <t xml:space="preserve"> El ICFES suministrará las escarapelas con el diseño del evento, sobre las cuales el operador debe imprimir el nombre de cada participante de acuerdo a su llegada; para ello El CONTRATISTA deberá disponer de personal suficiente y adicionalmente deberá implementar un sistema que permita el registro de todos los participantes en el evento y en los diferentes espacios que proporciona el Seminario de manera eficaz sin causar demoras en la iniciación del evento, adicionalmente el sistema debe permitir un control de la asistencia diario por los dos (2) días de duración del evento. El Contratista deberá prever que no pueden haber más de cinco personas en cola, teniendo en cuenta que el evento está dirigido para aproximadamente setecientas (700) personas.</t>
    </r>
  </si>
  <si>
    <t>Estructura de soporte</t>
  </si>
  <si>
    <t xml:space="preserve">Estructuras de soporte: Se requieren veinte (20) estructuras de soporte en alquiler para la exhibición de posters junto con  el espacio donde deberán ubicarse, por los días del evento. Se requieren de acuerdo a las siguientes especificaciones:
- Las medidas aproximadas de los poster corresponden a 1,40m x 2m cada uno. </t>
  </si>
  <si>
    <t>Estación de café para 700 personas</t>
  </si>
  <si>
    <r>
      <rPr>
        <u/>
        <sz val="8"/>
        <color theme="1"/>
        <rFont val="Arial Narrow"/>
        <family val="2"/>
      </rPr>
      <t>Estación de café completa:</t>
    </r>
    <r>
      <rPr>
        <sz val="8"/>
        <color theme="1"/>
        <rFont val="Arial Narrow"/>
        <family val="2"/>
      </rPr>
      <t xml:space="preserve"> Se requiere una estación de café que deberá suministrar café, té, o aromáticas para setecientas (700) personas. La estación deberá ser ubicada en sitio anexo al salón A, y deberá estar dotada con  menaje, meseros y todo lo necesario para su funcionamiento. </t>
    </r>
  </si>
  <si>
    <t>Refrigerio</t>
  </si>
  <si>
    <t xml:space="preserve"> Suministro de refrigerios en el espacio indicado por el ICFES. 
 Cada refrigerio deberá estar compuesto por un sólido y una bebida, 
 a continuación se relacionan algunas opciones:
-   SOLIDO: horneado pastelería, frito canapés 
-   BEBIDA (12 ONZ):  gaseosa o jugo natural
 Todos los refrigerios  deberán incluir menaje y servicio de meseros.</t>
  </si>
  <si>
    <t>Almuerzo</t>
  </si>
  <si>
    <t>Almuerzo de trabajo: Suministro de almuerzos que deberán ser servidos en el lugar donde se desarrolle el evento. 
Cada almuerzo deberá estar compuesto por:  
Entrada 
Plato fuerte compuesto por: 
Una harina
Porción de ensalada o vegetales 
Porción de proteína con alguna de las siguientes opciones:  Carne roja 250gr -Pollo 250gr  - cerdo 250gr - pescado 300 gr
Jugo natural o gaseosa (12onz)
Postre pequeño
Debe incluir servicio de meseros y todo lo requerido para prestar ese servicio.</t>
  </si>
  <si>
    <t>Cena</t>
  </si>
  <si>
    <t xml:space="preserve">Cena de trabajo: Cena servida en restaurante ubicado en la ciudad de Bogotá. El ICFES aprobará el menú y en caso de requerirlo se realizarán pruebas de degustación en el restaurante, en todo caso el menú deberá incluir:
Entrada 
Plato fuerte compuesto por: 
Una harina
Porción de ensalada o vegetales 
Porción de proteína con alguna de las siguientes opciones:  Carne roja 250gr -Pollo 250gr  - cerdo 250gr - pescado 300 gr
Dos bebidas  
Postre
Debe incluir servicio de meseros y todo lo requerido para prestar ese servicio
</t>
  </si>
  <si>
    <t>Noche de hotel de mínimo 4 estrellas en acomodación sencilla</t>
  </si>
  <si>
    <t xml:space="preserve">Hotel: Servicio de alojamiento en el lugar donde se desarrollará el evento o en un hotel de cinco estrellas aprobado por el ICFES. El alojamiento deberá incluir desayuno. La acomodación deberá ser en habitación sencilla para cada una de las personas indicadas por el ICFES, por espacio de  tres (3) noches. </t>
  </si>
  <si>
    <t>Hora de servicio de traductor simultáneo</t>
  </si>
  <si>
    <t>Maestro de ceremonia. El ICFES hará las entrevistas al maestro de ceremonia y lo seleccionará. Se requiere como perfil general un maestro de ceremonias con experiencia mínima de 3 años, quien deberá preparar el libreto completo del desarrollo del evento, libreto que será construido en conjunto con el ICFES.</t>
  </si>
  <si>
    <t>Hora de servicio de presentación del Maestro de Ceremonias</t>
  </si>
  <si>
    <t>Traductor simultáneo Inglés-Español: El ICFES hará las entrevistas a los traductores y los seleccionará. Se requiere como perfil general, traductores con experiencia mínima de 3 años y preferiblemente en eventos relacionados con la educación. El ICFES enviará información del evento a los traductores seleccionados, que deben leer y consultar previamente al evento.</t>
  </si>
  <si>
    <t>Subtotal 3 - Sumatoria de valores unitarios de servicios especiales para Seminario Internacional</t>
  </si>
  <si>
    <t>4. SERVICIOS ESPECIALES PARA ACTIVIDADES DE LA SUBDIRECCIÓN DE ANÁLISIS Y DIVULGACIÓN</t>
  </si>
  <si>
    <t>SERVICIOS ESPECIALES SUBDIRECCIÓN DE ANÁLISIS Y DIVULGACIÓN</t>
  </si>
  <si>
    <t>Persona confirmada para evento</t>
  </si>
  <si>
    <t>CONVOCATORIA DE INVITADOS: Se debe realizar confirmación de asistencia vía telefónica a las personas invitadas y entregar reporte sobre avance de la convocatoria de acuerdo con la periodicidad solicitada por el supervisor del contrato o la persona encargada de coordinar el evento por parte del ICFES.  NOTA: El valor de la cotización debe comprender la convocatoria y confirmación de grupos que oscilan entre 30 a 170 personas por sesión.</t>
  </si>
  <si>
    <t>Kit organizado y entregado</t>
  </si>
  <si>
    <t>Organización y Entrega kits: El ICFES entregará el material por separado con el cual el operador debe armar cada kit. El contenido mínimo de un kit será una bolsa de tela, un esfero, una libreta y una memoria USB. (puede incluir material impreso). El operador debe encargarse del envío de estos kits a las diferentes ciudades donde se realizarán los eventos, y hacer la entrega de los mismos a los invitados.</t>
  </si>
  <si>
    <t>Pasabocas</t>
  </si>
  <si>
    <t>Pasabocas: Productos de panadería, horneados o fritos de tamaño pequeño (pasabocas). Debe incluir servicio de mesero y el menaje necesario.</t>
  </si>
  <si>
    <t>Computador portátil / 4 Horas</t>
  </si>
  <si>
    <t>Computador portátil: Mínimo con las siguientes características: Procesador Intel i3, 2GB RAM, DD 80 GB, Video 128 MB, Office 2007 instalado en su versión completa, Posibilidad de conexión a internet.  Se requiere 1 computador portátil por 4 horas disponible en el lugar del evento.</t>
  </si>
  <si>
    <t>Módem / día</t>
  </si>
  <si>
    <t>Modem de Internet Inalámbrico: Alquiler de modem 4 MG con cobertura nacional por un día</t>
  </si>
  <si>
    <t xml:space="preserve">Kit suministrado de divulgación para taller </t>
  </si>
  <si>
    <t xml:space="preserve">Material de divulgación para taller: Para la realización de los talleres se requiere de kits para grupos de trabajo conformados por 1 marcador permanente, 2 pliegos de papel periódico y un paquete de post-it de 7cm x 7 cm  aprox. (notas adhesivas). </t>
  </si>
  <si>
    <t>Subtotal 4 - Sumatoria de valores unitarios de servicios especiales Subdirección de Análisis y Divulgación</t>
  </si>
  <si>
    <t>Subtotal 7. Valores unitarios de los servicios de Operador Logístico (Subtotal 1. + Subtotal 2. + Subtotal 3. + Subtotal 4.)</t>
  </si>
  <si>
    <t xml:space="preserve">SERVICIOS DE AGENCIA </t>
  </si>
  <si>
    <t>5. MATERIAL PARA DIVULGACIÓN INSTITUCIONAL</t>
  </si>
  <si>
    <t>Diseño sticker</t>
  </si>
  <si>
    <t>Producción sticker</t>
  </si>
  <si>
    <t>Diseño de plegable 2 cuerpos</t>
  </si>
  <si>
    <t>Producción de plegable 2 cuerpos</t>
  </si>
  <si>
    <t>Diseño de plegable 3 cuerpos</t>
  </si>
  <si>
    <t>Producción de plegable 3 cuerpos</t>
  </si>
  <si>
    <t>Diseño de plegable 4 cuerpos</t>
  </si>
  <si>
    <t>Producción de plegable 4 cuerpos</t>
  </si>
  <si>
    <t>Diseño cuerpo adicional de plegable</t>
  </si>
  <si>
    <t>Diseño de hablador</t>
  </si>
  <si>
    <t>Producción de hablador</t>
  </si>
  <si>
    <t>Diseño logotipo</t>
  </si>
  <si>
    <t>Esfero / Bolígrafo retractil</t>
  </si>
  <si>
    <t>Lápiz</t>
  </si>
  <si>
    <t>Borrador nata</t>
  </si>
  <si>
    <t>Memoria USB 2 Gb</t>
  </si>
  <si>
    <t>Memoria USB 4 Gb</t>
  </si>
  <si>
    <t>Memoria USB 8 Gb</t>
  </si>
  <si>
    <t>Memoria USB 16 Gb</t>
  </si>
  <si>
    <t>Diseño de banner sencillo</t>
  </si>
  <si>
    <t>Diseño de banner (Flash)</t>
  </si>
  <si>
    <t>Diseño de Wallpaper</t>
  </si>
  <si>
    <t>Diseño de pieza JPG 1920 x 1080</t>
  </si>
  <si>
    <t>Diseño de meme - JPG</t>
  </si>
  <si>
    <t>Diseño invitación digital</t>
  </si>
  <si>
    <t>Diseño de botón para página web</t>
  </si>
  <si>
    <t>Diseño de Gif animado</t>
  </si>
  <si>
    <t>Producción de pendón 2.00m X 1.00m</t>
  </si>
  <si>
    <t>Mensaje institucional para radio</t>
  </si>
  <si>
    <t>Estudio de grabación
Locutor institucional
Locución de personajes (2 personajes)
Música de stock para mensajes institucionales radiales
Sonorización y mezclas
Duración 30"
Entrega en CD, formato MP3 y máster</t>
  </si>
  <si>
    <t>Mensaje institucional para televisón</t>
  </si>
  <si>
    <t>Duración 30"
Edición AVID
Locutor institucional
Diseño y graficación
Horas de estudio
Música de stock
El material producido será trasmitido por los espacios de la ANTV y deberá ser entregado de acuerdo con los requerimientos de dicha entidad y las necesidades del ICFES.</t>
  </si>
  <si>
    <t>Mensaje institucional audiovisual para diferentes canales</t>
  </si>
  <si>
    <t>Duración 5 minutos
Locutor
Graficación y diseño
Horas de estudio
Música de stock</t>
  </si>
  <si>
    <t>Mensaje institucional audiovisual para diferentes canales que incluye testimonios</t>
  </si>
  <si>
    <t>Duración 7 minutos
Locutor institucional, testimoniales (en promedio 5)
Estudio de grabación, música de stock, efectos de sonido, sonorización y mezclas
Entrega en CD y formato MP3 (master)</t>
  </si>
  <si>
    <t>Segundo de animación en 2D</t>
  </si>
  <si>
    <t>Animación en 2D</t>
  </si>
  <si>
    <t>Segundo de animación en 3D</t>
  </si>
  <si>
    <t>Animación en 3D</t>
  </si>
  <si>
    <t>Subtotal 5 - Sumatoria de valores unitarios de material para Divulgación Institucional</t>
  </si>
  <si>
    <t>6. MONITOREO DE MEDIOS</t>
  </si>
  <si>
    <t>Monitoreo de medios</t>
  </si>
  <si>
    <t>Servicio / mes</t>
  </si>
  <si>
    <t>Servicio de monitoreo de la información publicada en: 1. medios masivos de información teniendo en cuenta divulgación internacional, nacional, regional, local, comunitaria, universitaria, alternativa y/o instituciones educativas de la básica y media, 2. agencias de noticias, 3. portales on line., 4. redes sociales; El monitoreo deberá realizarse de acuerdo con las temáticas de interés que informe el ICFES.
Incluye: Monitoreo, Sistema de Alertas y Reportes.</t>
  </si>
  <si>
    <t>Subtotal 6 - Sumatoria de valores unitarios de monitoreo de medios</t>
  </si>
  <si>
    <t>Subtotal 8. Valores unitarios de los servicios de Agencia (Subtotal 5. + Subtotal 6.)</t>
  </si>
  <si>
    <t>Sumatoria de valores unitarios</t>
  </si>
  <si>
    <t>Nombre Persona Natural o Rep. Legal Persona Jurídica</t>
  </si>
  <si>
    <t>MARIO RIOS CASTRO</t>
  </si>
  <si>
    <t>Firma Persona Natural o Rep. Legal Persona Jurídica</t>
  </si>
  <si>
    <t>Cédula Persona Natural o Rep. Legal Persona Jurídica</t>
  </si>
  <si>
    <t>N.A</t>
  </si>
  <si>
    <t>$1’084.686</t>
  </si>
  <si>
    <t>Label</t>
  </si>
  <si>
    <t>file:///C:/Users/mmendez/Downloads/DA_PROCESO_12-13-1208708_225000001_5511867.pdf</t>
  </si>
  <si>
    <t>file:///C:/Users/mmendez/Downloads/DA_PROCESO_14-13-2574065_133001000_10186573.pdf</t>
  </si>
  <si>
    <t>Diseñoaviso de prensa</t>
  </si>
  <si>
    <t xml:space="preserve">Valor </t>
  </si>
  <si>
    <t>Entidad/Fecha</t>
  </si>
  <si>
    <t>3. Aviso deprensa tamaño media página</t>
  </si>
  <si>
    <t>10 cms x 3 coles</t>
  </si>
  <si>
    <t>Tinta Blanco y negro</t>
  </si>
  <si>
    <t>Min Cultura 2013</t>
  </si>
  <si>
    <t>7. Plegable dos cuerpos</t>
  </si>
  <si>
    <t>Plegables dos (2) cuerpos tamaño oficio. Cantidad 66.400 plegables.</t>
  </si>
  <si>
    <t>$133.40 valor unitario</t>
  </si>
  <si>
    <t>$8.857.760 valor total</t>
  </si>
  <si>
    <t>Copnia 2009</t>
  </si>
  <si>
    <t>9. Plegable tres cuerpos</t>
  </si>
  <si>
    <t>Tamaño abierto: 36 x 17 cm</t>
  </si>
  <si>
    <t>Tamaño cerrado: 12 x 17 cm</t>
  </si>
  <si>
    <t>Tintas: 2 x 2</t>
  </si>
  <si>
    <t>Papel propalcote 150 gr</t>
  </si>
  <si>
    <t>Cantidad 10.000</t>
  </si>
  <si>
    <t>$280 valor unitario</t>
  </si>
  <si>
    <t>$2.800.000 valor total</t>
  </si>
  <si>
    <t>IDARTES 2015</t>
  </si>
  <si>
    <t>10. Plegable 4 cuerpos</t>
  </si>
  <si>
    <t>Tamaño abierto 48 x12 cm</t>
  </si>
  <si>
    <t>Tintas 4x4</t>
  </si>
  <si>
    <t>Cantidad 5.000</t>
  </si>
  <si>
    <t>$ 300 valor unitario</t>
  </si>
  <si>
    <t>$1.500.000 valor total</t>
  </si>
  <si>
    <t>12. Esfero retráctil institucional</t>
  </si>
  <si>
    <t>Impresión a 1 tinta por una cara color y estilo según muestra</t>
  </si>
  <si>
    <t>Cantidad 5000</t>
  </si>
  <si>
    <t>$1150 valor unitario</t>
  </si>
  <si>
    <t xml:space="preserve">$5750000 valor total </t>
  </si>
  <si>
    <t>DESCRIPCIÓN</t>
  </si>
  <si>
    <t>VALOR</t>
  </si>
  <si>
    <t>ENTIDAD</t>
  </si>
  <si>
    <t>Videos</t>
  </si>
  <si>
    <t>Videos en exteriores de 90 segundos.</t>
  </si>
  <si>
    <t>Colfuturo 2015</t>
  </si>
  <si>
    <t>Videos en exteriores de 60 segundos.</t>
  </si>
  <si>
    <t>Piezas Audiovisuales con GraphicRecording de 60 y 90 segundos</t>
  </si>
  <si>
    <t>17.000.000 (60 segundos)</t>
  </si>
  <si>
    <t>20.000.000 (90 Segundos)</t>
  </si>
  <si>
    <t>Ministerio de Educación Nacional 2015</t>
  </si>
  <si>
    <t>Spot Institucional promocional de 30 segundos</t>
  </si>
  <si>
    <t>Minga 2015</t>
  </si>
  <si>
    <t>Serie Web de 5 minutos máximo por capítulo</t>
  </si>
  <si>
    <t>Diaconia 2015</t>
  </si>
  <si>
    <t>Streaming</t>
  </si>
  <si>
    <t>Video Streaming para Internet en Bogotá</t>
  </si>
  <si>
    <t>David Alba Producciones SAS 2015</t>
  </si>
  <si>
    <t>ORG. Axon360 2014 (Contraloria Cundinamarca)</t>
  </si>
  <si>
    <t>Simplex S.A. 2014 (Contraloria Cundinamarca)</t>
  </si>
  <si>
    <t>Plataforma Comunicaciones S.A. 2015</t>
  </si>
  <si>
    <t>Video Streaming para Internet Nacional</t>
  </si>
  <si>
    <t>Estudio</t>
  </si>
  <si>
    <t>Estudio de grabación de audio por hora</t>
  </si>
  <si>
    <t>Calendario</t>
  </si>
  <si>
    <t>Diseño Calendario 4 tintas</t>
  </si>
  <si>
    <t>Fonan – Proceso 008 2014</t>
  </si>
  <si>
    <t>Parques Nacionales CSC-011-n2013</t>
  </si>
  <si>
    <t>Pendón</t>
  </si>
  <si>
    <t>Diseño de Pendón 2x1</t>
  </si>
  <si>
    <t>Contraloría Municipal de Bucaramanga 2014</t>
  </si>
  <si>
    <t>Producción de Pendón 2x1</t>
  </si>
  <si>
    <t>Idartes 2015</t>
  </si>
  <si>
    <t>Diseño de Pendón 2x2</t>
  </si>
  <si>
    <t>Diseño Pendón 3x1</t>
  </si>
  <si>
    <t>Contraloría Bogotá 2015</t>
  </si>
  <si>
    <t>Producción Pendón 3x1</t>
  </si>
  <si>
    <t>INSTITUCIÓN EDUCATIVA DISTRITAL EL PARAÍSO – Barranquila 2014</t>
  </si>
  <si>
    <t>Diseño Pendón 3x2</t>
  </si>
  <si>
    <t>Lotería Santander 2014</t>
  </si>
  <si>
    <t>Producción Pendón 3x2</t>
  </si>
  <si>
    <t>Diseño Pendón 3x3</t>
  </si>
  <si>
    <t>Diseño Pendón 6x1</t>
  </si>
  <si>
    <t>Corporación Autónoma Regional del Valle del Cauca 2014</t>
  </si>
  <si>
    <t>Producción Pendón 6x1</t>
  </si>
  <si>
    <t>Diseño Pendón 6x3</t>
  </si>
  <si>
    <t>Producción Pendón 6x3</t>
  </si>
  <si>
    <t>MEDIA GEOMETRICA</t>
  </si>
  <si>
    <t>MEDIA ARITMETICA</t>
  </si>
  <si>
    <t>TOTAL CON MEDIA GEOMETRICA</t>
  </si>
  <si>
    <t>TOTAL CON MEDIA ARITMETICA</t>
  </si>
  <si>
    <t>FUENTE</t>
  </si>
  <si>
    <t>IDEARTES</t>
  </si>
  <si>
    <t>Alcaldía de Manizales 2014</t>
  </si>
  <si>
    <t>Lotería del Meta</t>
  </si>
  <si>
    <t>Nexura Internacional 2015</t>
  </si>
  <si>
    <t xml:space="preserve">David Alba Producciones SAS 2015 </t>
  </si>
  <si>
    <t>IDRD</t>
  </si>
  <si>
    <t>MIN TIC</t>
  </si>
  <si>
    <t>AGENCIA NACIONAL DEL ESPECTRO (ANE)</t>
  </si>
  <si>
    <t>PROCESO /</t>
  </si>
  <si>
    <t xml:space="preserve">C0T 1 </t>
  </si>
  <si>
    <t>Fuente SECOP</t>
  </si>
  <si>
    <t>Fondo adaptación 2015</t>
  </si>
  <si>
    <t>Fee de Agencia  Antes de IVA</t>
  </si>
  <si>
    <t>C0T 2</t>
  </si>
  <si>
    <t>Ejercito</t>
  </si>
  <si>
    <t xml:space="preserve">C03 </t>
  </si>
  <si>
    <t>Diseño e implementación del portal web infantil</t>
  </si>
  <si>
    <t>TOPE MAX CON IVA</t>
  </si>
  <si>
    <t>TOPE MAX  SIN IVA</t>
  </si>
  <si>
    <t>VALOR TOTAL</t>
  </si>
  <si>
    <t>Total Antes de iva</t>
  </si>
  <si>
    <t>IVA</t>
  </si>
  <si>
    <t>%</t>
  </si>
  <si>
    <t>Total</t>
  </si>
  <si>
    <t>GRAN TOTAL</t>
  </si>
  <si>
    <t xml:space="preserve">Fee de Agencia (% ) </t>
  </si>
  <si>
    <t xml:space="preserve">Formato 4 de oferta económica </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</si>
</sst>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44" formatCode="_(&quot;$&quot;\ * #,##0.00_);_(&quot;$&quot;\ * \(#,##0.00\);_(&quot;$&quot;\ * &quot;-&quot;??_);_(@_)"/>
    <numFmt numFmtId="43" formatCode="_(* #,##0.00_);_(* \(#,##0.00\);_(* &quot;-&quot;??_);_(@_)"/>
    <numFmt numFmtId="164" formatCode="_(&quot;$&quot;* #,##0.00_);_(&quot;$&quot;* \(#,##0.00\);_(&quot;$&quot;* &quot;-&quot;??_);_(@_)"/>
    <numFmt numFmtId="165" formatCode="_(&quot;$&quot;\ * #,##0_);_(&quot;$&quot;\ * \(#,##0\);_(&quot;$&quot;\ * &quot;-&quot;??_);_(@_)"/>
    <numFmt numFmtId="166" formatCode="_(* #,##0_);_(* \(#,##0\);_(* &quot;-&quot;??_);_(@_)"/>
    <numFmt numFmtId="167" formatCode="&quot;$&quot;#,##0"/>
    <numFmt numFmtId="168" formatCode="&quot;$&quot;\ #,##0"/>
    <numFmt numFmtId="169" formatCode="[$$-240A]#,##0"/>
    <numFmt numFmtId="170" formatCode="_(* #,##0.0_);_(* \(#,##0.0\);_(* &quot;-&quot;??_);_(@_)"/>
    <numFmt numFmtId="171" formatCode="_-* #,##0_-;\-* #,##0_-;_-* &quot;-&quot;_-;_-@_-"/>
  </numFmts>
  <fonts count="47" x14ac:knownFonts="1">
    <font>
      <sz val="11"/>
      <color theme="1"/>
      <name val="Calibri"/>
      <family val="2"/>
      <scheme val="minor"/>
    </font>
    <font>
      <sz val="10"/>
      <name val="Arial"/>
      <family val="2"/>
    </font>
    <font>
      <b/>
      <sz val="11"/>
      <name val="Calibri"/>
      <family val="2"/>
      <scheme val="minor"/>
    </font>
    <font>
      <sz val="11"/>
      <color rgb="FF000000"/>
      <name val="Calibri"/>
      <family val="2"/>
      <scheme val="minor"/>
    </font>
    <font>
      <b/>
      <sz val="11"/>
      <color theme="1"/>
      <name val="Calibri"/>
      <family val="2"/>
      <scheme val="minor"/>
    </font>
    <font>
      <b/>
      <sz val="11"/>
      <color rgb="FF000000"/>
      <name val="Calibri"/>
      <family val="2"/>
      <scheme val="minor"/>
    </font>
    <font>
      <sz val="11"/>
      <name val="Calibri"/>
      <family val="2"/>
      <scheme val="minor"/>
    </font>
    <font>
      <sz val="12"/>
      <color theme="1"/>
      <name val="Calibri"/>
      <family val="2"/>
      <scheme val="minor"/>
    </font>
    <font>
      <b/>
      <sz val="12"/>
      <color theme="1"/>
      <name val="Calibri"/>
      <family val="2"/>
      <scheme val="minor"/>
    </font>
    <font>
      <b/>
      <sz val="10"/>
      <color theme="1"/>
      <name val="Arial"/>
      <family val="2"/>
    </font>
    <font>
      <sz val="11"/>
      <color theme="1"/>
      <name val="Calibri"/>
      <family val="2"/>
      <scheme val="minor"/>
    </font>
    <font>
      <b/>
      <sz val="16"/>
      <color theme="1"/>
      <name val="Calibri"/>
      <family val="2"/>
      <scheme val="minor"/>
    </font>
    <font>
      <b/>
      <sz val="12"/>
      <color theme="0"/>
      <name val="Calibri"/>
      <family val="2"/>
      <scheme val="minor"/>
    </font>
    <font>
      <b/>
      <sz val="18"/>
      <color theme="1"/>
      <name val="Calibri"/>
      <family val="2"/>
      <scheme val="minor"/>
    </font>
    <font>
      <sz val="16"/>
      <color theme="1"/>
      <name val="Calibri"/>
      <family val="2"/>
      <scheme val="minor"/>
    </font>
    <font>
      <b/>
      <sz val="14"/>
      <color theme="1"/>
      <name val="Calibri"/>
      <family val="2"/>
      <scheme val="minor"/>
    </font>
    <font>
      <b/>
      <sz val="16"/>
      <color theme="0"/>
      <name val="Calibri"/>
      <family val="2"/>
      <scheme val="minor"/>
    </font>
    <font>
      <b/>
      <sz val="20"/>
      <color theme="1"/>
      <name val="Calibri"/>
      <family val="2"/>
      <scheme val="minor"/>
    </font>
    <font>
      <b/>
      <sz val="10"/>
      <color theme="0"/>
      <name val="Calibri"/>
      <family val="2"/>
      <scheme val="minor"/>
    </font>
    <font>
      <sz val="10"/>
      <color theme="1"/>
      <name val="Calibri"/>
      <family val="2"/>
      <scheme val="minor"/>
    </font>
    <font>
      <b/>
      <sz val="10"/>
      <color theme="1"/>
      <name val="Calibri"/>
      <family val="2"/>
      <scheme val="minor"/>
    </font>
    <font>
      <sz val="10"/>
      <color theme="0"/>
      <name val="Calibri"/>
      <family val="2"/>
      <scheme val="minor"/>
    </font>
    <font>
      <sz val="10"/>
      <name val="Calibri"/>
      <family val="2"/>
      <scheme val="minor"/>
    </font>
    <font>
      <b/>
      <sz val="8"/>
      <color theme="0"/>
      <name val="Calibri"/>
      <family val="2"/>
      <scheme val="minor"/>
    </font>
    <font>
      <b/>
      <sz val="10"/>
      <color theme="1" tint="0.499984740745262"/>
      <name val="Calibri"/>
      <family val="2"/>
      <scheme val="minor"/>
    </font>
    <font>
      <b/>
      <sz val="8"/>
      <color theme="1"/>
      <name val="Calibri"/>
      <family val="2"/>
      <scheme val="minor"/>
    </font>
    <font>
      <u/>
      <sz val="11"/>
      <color theme="10"/>
      <name val="Calibri"/>
      <family val="2"/>
      <scheme val="minor"/>
    </font>
    <font>
      <sz val="10"/>
      <color rgb="FFFF0000"/>
      <name val="Calibri"/>
      <family val="2"/>
      <scheme val="minor"/>
    </font>
    <font>
      <sz val="10"/>
      <color theme="3" tint="0.39997558519241921"/>
      <name val="Calibri"/>
      <family val="2"/>
      <scheme val="minor"/>
    </font>
    <font>
      <b/>
      <sz val="11"/>
      <color theme="1"/>
      <name val="Arial Narrow"/>
      <family val="2"/>
    </font>
    <font>
      <sz val="8"/>
      <name val="Arial Narrow"/>
      <family val="2"/>
    </font>
    <font>
      <b/>
      <sz val="14"/>
      <color theme="1"/>
      <name val="Arial Narrow"/>
      <family val="2"/>
    </font>
    <font>
      <sz val="8"/>
      <color theme="1"/>
      <name val="Arial Narrow"/>
      <family val="2"/>
    </font>
    <font>
      <b/>
      <sz val="8"/>
      <color theme="0"/>
      <name val="Arial Narrow"/>
      <family val="2"/>
    </font>
    <font>
      <b/>
      <sz val="8"/>
      <name val="Arial Narrow"/>
      <family val="2"/>
    </font>
    <font>
      <sz val="8"/>
      <color rgb="FF000000"/>
      <name val="Arial Narrow"/>
      <family val="2"/>
    </font>
    <font>
      <u/>
      <sz val="8"/>
      <color theme="1"/>
      <name val="Arial Narrow"/>
      <family val="2"/>
    </font>
    <font>
      <b/>
      <u/>
      <sz val="8"/>
      <color theme="1"/>
      <name val="Arial Narrow"/>
      <family val="2"/>
    </font>
    <font>
      <sz val="8"/>
      <color theme="1" tint="0.499984740745262"/>
      <name val="Arial Narrow"/>
      <family val="2"/>
    </font>
    <font>
      <b/>
      <sz val="10"/>
      <color theme="0"/>
      <name val="Arial Narrow"/>
      <family val="2"/>
    </font>
    <font>
      <b/>
      <sz val="12"/>
      <color theme="0"/>
      <name val="Arial Narrow"/>
      <family val="2"/>
    </font>
    <font>
      <sz val="12"/>
      <name val="Arial Narrow"/>
      <family val="2"/>
    </font>
    <font>
      <b/>
      <sz val="14"/>
      <color theme="0"/>
      <name val="Arial Narrow"/>
      <family val="2"/>
    </font>
    <font>
      <sz val="9"/>
      <color theme="1"/>
      <name val="Arial Narrow"/>
      <family val="2"/>
    </font>
    <font>
      <sz val="12"/>
      <color theme="1"/>
      <name val="Cambria"/>
      <family val="1"/>
    </font>
    <font>
      <sz val="11"/>
      <color rgb="FF0E0C2E"/>
      <name val="Arial"/>
      <family val="2"/>
    </font>
    <font>
      <sz val="10"/>
      <color theme="1"/>
      <name val="Cambria"/>
      <family val="1"/>
    </font>
  </fonts>
  <fills count="20">
    <fill>
      <patternFill patternType="none"/>
    </fill>
    <fill>
      <patternFill patternType="gray125"/>
    </fill>
    <fill>
      <patternFill patternType="solid">
        <fgColor theme="0"/>
        <bgColor indexed="64"/>
      </patternFill>
    </fill>
    <fill>
      <patternFill patternType="solid">
        <fgColor theme="3"/>
        <bgColor indexed="64"/>
      </patternFill>
    </fill>
    <fill>
      <patternFill patternType="solid">
        <fgColor theme="2" tint="-9.9978637043366805E-2"/>
        <bgColor indexed="64"/>
      </patternFill>
    </fill>
    <fill>
      <patternFill patternType="solid">
        <fgColor theme="7" tint="-0.499984740745262"/>
        <bgColor indexed="64"/>
      </patternFill>
    </fill>
    <fill>
      <patternFill patternType="solid">
        <fgColor theme="8" tint="-0.499984740745262"/>
        <bgColor indexed="64"/>
      </patternFill>
    </fill>
    <fill>
      <patternFill patternType="solid">
        <fgColor theme="6" tint="-0.499984740745262"/>
        <bgColor indexed="64"/>
      </patternFill>
    </fill>
    <fill>
      <patternFill patternType="solid">
        <fgColor theme="4" tint="-0.499984740745262"/>
        <bgColor indexed="64"/>
      </patternFill>
    </fill>
    <fill>
      <patternFill patternType="solid">
        <fgColor rgb="FFFFFF66"/>
        <bgColor indexed="64"/>
      </patternFill>
    </fill>
    <fill>
      <patternFill patternType="solid">
        <fgColor rgb="FFFFFF00"/>
        <bgColor indexed="64"/>
      </patternFill>
    </fill>
    <fill>
      <patternFill patternType="solid">
        <fgColor theme="1"/>
        <bgColor indexed="64"/>
      </patternFill>
    </fill>
    <fill>
      <patternFill patternType="solid">
        <fgColor theme="9" tint="0.59999389629810485"/>
        <bgColor indexed="64"/>
      </patternFill>
    </fill>
    <fill>
      <patternFill patternType="solid">
        <fgColor rgb="FFFF0000"/>
        <bgColor indexed="64"/>
      </patternFill>
    </fill>
    <fill>
      <patternFill patternType="solid">
        <fgColor theme="0" tint="-0.34998626667073579"/>
        <bgColor indexed="64"/>
      </patternFill>
    </fill>
    <fill>
      <patternFill patternType="solid">
        <fgColor theme="3" tint="0.39997558519241921"/>
        <bgColor indexed="64"/>
      </patternFill>
    </fill>
    <fill>
      <patternFill patternType="solid">
        <fgColor rgb="FF0070C0"/>
        <bgColor indexed="64"/>
      </patternFill>
    </fill>
    <fill>
      <patternFill patternType="solid">
        <fgColor theme="9" tint="0.39997558519241921"/>
        <bgColor indexed="64"/>
      </patternFill>
    </fill>
    <fill>
      <patternFill patternType="solid">
        <fgColor rgb="FFFFC000"/>
        <bgColor indexed="64"/>
      </patternFill>
    </fill>
    <fill>
      <patternFill patternType="solid">
        <fgColor theme="2" tint="-0.249977111117893"/>
        <bgColor indexed="64"/>
      </patternFill>
    </fill>
  </fills>
  <borders count="65">
    <border>
      <left/>
      <right/>
      <top/>
      <bottom/>
      <diagonal/>
    </border>
    <border>
      <left style="thin">
        <color auto="1"/>
      </left>
      <right style="thin">
        <color auto="1"/>
      </right>
      <top style="medium">
        <color auto="1"/>
      </top>
      <bottom style="thin">
        <color auto="1"/>
      </bottom>
      <diagonal/>
    </border>
    <border>
      <left style="thin">
        <color auto="1"/>
      </left>
      <right style="thin">
        <color auto="1"/>
      </right>
      <top style="thin">
        <color auto="1"/>
      </top>
      <bottom style="medium">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medium">
        <color auto="1"/>
      </left>
      <right style="thin">
        <color auto="1"/>
      </right>
      <top style="medium">
        <color auto="1"/>
      </top>
      <bottom/>
      <diagonal/>
    </border>
    <border>
      <left style="medium">
        <color auto="1"/>
      </left>
      <right style="thin">
        <color auto="1"/>
      </right>
      <top style="thin">
        <color auto="1"/>
      </top>
      <bottom style="thin">
        <color auto="1"/>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style="thin">
        <color auto="1"/>
      </right>
      <top/>
      <bottom/>
      <diagonal/>
    </border>
    <border>
      <left style="medium">
        <color auto="1"/>
      </left>
      <right style="thin">
        <color auto="1"/>
      </right>
      <top style="thin">
        <color auto="1"/>
      </top>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thin">
        <color auto="1"/>
      </left>
      <right style="thin">
        <color auto="1"/>
      </right>
      <top/>
      <bottom style="medium">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medium">
        <color auto="1"/>
      </left>
      <right/>
      <top/>
      <bottom style="medium">
        <color auto="1"/>
      </bottom>
      <diagonal/>
    </border>
    <border>
      <left/>
      <right/>
      <top/>
      <bottom style="medium">
        <color auto="1"/>
      </bottom>
      <diagonal/>
    </border>
    <border>
      <left style="medium">
        <color auto="1"/>
      </left>
      <right style="thin">
        <color auto="1"/>
      </right>
      <top/>
      <bottom style="thin">
        <color auto="1"/>
      </bottom>
      <diagonal/>
    </border>
    <border>
      <left style="thin">
        <color auto="1"/>
      </left>
      <right/>
      <top style="medium">
        <color auto="1"/>
      </top>
      <bottom/>
      <diagonal/>
    </border>
    <border>
      <left style="thin">
        <color auto="1"/>
      </left>
      <right/>
      <top/>
      <bottom style="medium">
        <color auto="1"/>
      </bottom>
      <diagonal/>
    </border>
    <border>
      <left style="medium">
        <color auto="1"/>
      </left>
      <right style="thin">
        <color auto="1"/>
      </right>
      <top/>
      <bottom style="medium">
        <color auto="1"/>
      </bottom>
      <diagonal/>
    </border>
    <border>
      <left style="thin">
        <color auto="1"/>
      </left>
      <right/>
      <top style="medium">
        <color auto="1"/>
      </top>
      <bottom style="thin">
        <color auto="1"/>
      </bottom>
      <diagonal/>
    </border>
    <border>
      <left style="thin">
        <color auto="1"/>
      </left>
      <right/>
      <top style="thin">
        <color auto="1"/>
      </top>
      <bottom style="thin">
        <color auto="1"/>
      </bottom>
      <diagonal/>
    </border>
    <border>
      <left style="thin">
        <color auto="1"/>
      </left>
      <right/>
      <top/>
      <bottom style="thin">
        <color auto="1"/>
      </bottom>
      <diagonal/>
    </border>
    <border>
      <left style="thin">
        <color auto="1"/>
      </left>
      <right/>
      <top style="thin">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auto="1"/>
      </left>
      <right style="thin">
        <color auto="1"/>
      </right>
      <top style="medium">
        <color auto="1"/>
      </top>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medium">
        <color auto="1"/>
      </bottom>
      <diagonal/>
    </border>
    <border>
      <left style="thin">
        <color auto="1"/>
      </left>
      <right style="medium">
        <color auto="1"/>
      </right>
      <top/>
      <bottom style="thin">
        <color auto="1"/>
      </bottom>
      <diagonal/>
    </border>
    <border>
      <left style="thin">
        <color auto="1"/>
      </left>
      <right/>
      <top style="thin">
        <color auto="1"/>
      </top>
      <bottom/>
      <diagonal/>
    </border>
    <border>
      <left style="thin">
        <color auto="1"/>
      </left>
      <right style="medium">
        <color auto="1"/>
      </right>
      <top style="thin">
        <color auto="1"/>
      </top>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style="medium">
        <color auto="1"/>
      </right>
      <top style="thin">
        <color auto="1"/>
      </top>
      <bottom/>
      <diagonal/>
    </border>
    <border>
      <left style="thin">
        <color auto="1"/>
      </left>
      <right/>
      <top/>
      <bottom/>
      <diagonal/>
    </border>
    <border>
      <left style="thin">
        <color auto="1"/>
      </left>
      <right style="medium">
        <color auto="1"/>
      </right>
      <top style="thin">
        <color auto="1"/>
      </top>
      <bottom style="thin">
        <color auto="1"/>
      </bottom>
      <diagonal/>
    </border>
    <border>
      <left style="medium">
        <color auto="1"/>
      </left>
      <right style="medium">
        <color auto="1"/>
      </right>
      <top/>
      <bottom style="thin">
        <color auto="1"/>
      </bottom>
      <diagonal/>
    </border>
    <border>
      <left/>
      <right style="thin">
        <color auto="1"/>
      </right>
      <top style="thin">
        <color auto="1"/>
      </top>
      <bottom style="thin">
        <color auto="1"/>
      </bottom>
      <diagonal/>
    </border>
    <border>
      <left style="thin">
        <color auto="1"/>
      </left>
      <right style="medium">
        <color auto="1"/>
      </right>
      <top/>
      <bottom/>
      <diagonal/>
    </border>
    <border>
      <left/>
      <right/>
      <top style="thin">
        <color auto="1"/>
      </top>
      <bottom style="thin">
        <color auto="1"/>
      </bottom>
      <diagonal/>
    </border>
    <border>
      <left/>
      <right/>
      <top/>
      <bottom style="thin">
        <color indexed="64"/>
      </bottom>
      <diagonal/>
    </border>
    <border>
      <left style="medium">
        <color indexed="64"/>
      </left>
      <right style="thin">
        <color theme="0"/>
      </right>
      <top style="medium">
        <color indexed="64"/>
      </top>
      <bottom style="thin">
        <color theme="0"/>
      </bottom>
      <diagonal/>
    </border>
    <border>
      <left style="thin">
        <color theme="0"/>
      </left>
      <right style="thin">
        <color theme="0"/>
      </right>
      <top style="medium">
        <color indexed="64"/>
      </top>
      <bottom style="thin">
        <color theme="0"/>
      </bottom>
      <diagonal/>
    </border>
    <border>
      <left style="medium">
        <color auto="1"/>
      </left>
      <right style="thin">
        <color theme="0"/>
      </right>
      <top style="thin">
        <color theme="0"/>
      </top>
      <bottom style="thin">
        <color indexed="64"/>
      </bottom>
      <diagonal/>
    </border>
    <border>
      <left style="thin">
        <color theme="0"/>
      </left>
      <right style="thin">
        <color theme="0"/>
      </right>
      <top style="thin">
        <color theme="0"/>
      </top>
      <bottom style="thin">
        <color indexed="64"/>
      </bottom>
      <diagonal/>
    </border>
    <border>
      <left style="medium">
        <color indexed="64"/>
      </left>
      <right style="thin">
        <color theme="0"/>
      </right>
      <top style="medium">
        <color indexed="64"/>
      </top>
      <bottom style="medium">
        <color indexed="64"/>
      </bottom>
      <diagonal/>
    </border>
    <border>
      <left style="thin">
        <color theme="0"/>
      </left>
      <right style="thin">
        <color theme="0"/>
      </right>
      <top style="medium">
        <color indexed="64"/>
      </top>
      <bottom style="medium">
        <color indexed="64"/>
      </bottom>
      <diagonal/>
    </border>
    <border>
      <left style="thin">
        <color theme="0"/>
      </left>
      <right/>
      <top style="medium">
        <color indexed="64"/>
      </top>
      <bottom style="medium">
        <color indexed="64"/>
      </bottom>
      <diagonal/>
    </border>
    <border>
      <left style="medium">
        <color indexed="64"/>
      </left>
      <right style="thin">
        <color theme="0"/>
      </right>
      <top style="medium">
        <color indexed="64"/>
      </top>
      <bottom/>
      <diagonal/>
    </border>
    <border>
      <left style="medium">
        <color indexed="64"/>
      </left>
      <right/>
      <top style="thin">
        <color theme="0"/>
      </top>
      <bottom style="thin">
        <color indexed="64"/>
      </bottom>
      <diagonal/>
    </border>
    <border>
      <left/>
      <right style="thin">
        <color theme="0"/>
      </right>
      <top style="thin">
        <color theme="0"/>
      </top>
      <bottom style="thin">
        <color indexed="64"/>
      </bottom>
      <diagonal/>
    </border>
    <border>
      <left/>
      <right style="thin">
        <color indexed="64"/>
      </right>
      <top style="thin">
        <color indexed="64"/>
      </top>
      <bottom/>
      <diagonal/>
    </border>
    <border>
      <left style="thin">
        <color indexed="64"/>
      </left>
      <right style="thin">
        <color theme="0"/>
      </right>
      <top style="thin">
        <color theme="0"/>
      </top>
      <bottom style="thin">
        <color indexed="64"/>
      </bottom>
      <diagonal/>
    </border>
    <border>
      <left style="thin">
        <color theme="0"/>
      </left>
      <right/>
      <top style="thin">
        <color theme="0"/>
      </top>
      <bottom style="thin">
        <color indexed="64"/>
      </bottom>
      <diagonal/>
    </border>
    <border>
      <left/>
      <right style="thin">
        <color theme="0"/>
      </right>
      <top style="medium">
        <color indexed="64"/>
      </top>
      <bottom style="medium">
        <color indexed="64"/>
      </bottom>
      <diagonal/>
    </border>
    <border>
      <left style="thin">
        <color theme="1"/>
      </left>
      <right style="thin">
        <color theme="1"/>
      </right>
      <top style="thin">
        <color theme="1"/>
      </top>
      <bottom style="thin">
        <color theme="1"/>
      </bottom>
      <diagonal/>
    </border>
    <border>
      <left/>
      <right style="medium">
        <color indexed="64"/>
      </right>
      <top/>
      <bottom style="medium">
        <color indexed="64"/>
      </bottom>
      <diagonal/>
    </border>
    <border>
      <left/>
      <right style="medium">
        <color indexed="64"/>
      </right>
      <top/>
      <bottom/>
      <diagonal/>
    </border>
  </borders>
  <cellStyleXfs count="13">
    <xf numFmtId="0" fontId="0" fillId="0" borderId="0"/>
    <xf numFmtId="0" fontId="1" fillId="0" borderId="0"/>
    <xf numFmtId="164" fontId="1" fillId="0" borderId="0" applyFont="0" applyFill="0" applyBorder="0" applyAlignment="0" applyProtection="0"/>
    <xf numFmtId="44" fontId="10" fillId="0" borderId="0" applyFont="0" applyFill="0" applyBorder="0" applyAlignment="0" applyProtection="0"/>
    <xf numFmtId="43" fontId="10" fillId="0" borderId="0" applyFont="0" applyFill="0" applyBorder="0" applyAlignment="0" applyProtection="0"/>
    <xf numFmtId="9" fontId="10" fillId="0" borderId="0" applyFont="0" applyFill="0" applyBorder="0" applyAlignment="0" applyProtection="0"/>
    <xf numFmtId="165" fontId="10" fillId="0" borderId="0" applyFont="0" applyFill="0" applyBorder="0" applyAlignment="0" applyProtection="0"/>
    <xf numFmtId="43" fontId="1"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0" fontId="26" fillId="0" borderId="0" applyNumberFormat="0" applyFill="0" applyBorder="0" applyAlignment="0" applyProtection="0"/>
    <xf numFmtId="0" fontId="1" fillId="0" borderId="0"/>
    <xf numFmtId="0" fontId="1" fillId="0" borderId="0"/>
  </cellStyleXfs>
  <cellXfs count="600">
    <xf numFmtId="0" fontId="0" fillId="0" borderId="0" xfId="0"/>
    <xf numFmtId="0" fontId="0" fillId="2" borderId="0" xfId="0" applyFont="1" applyFill="1"/>
    <xf numFmtId="0" fontId="0" fillId="2" borderId="0" xfId="0" applyFont="1" applyFill="1" applyAlignment="1">
      <alignment horizontal="center"/>
    </xf>
    <xf numFmtId="0" fontId="3" fillId="2" borderId="4" xfId="0" applyFont="1" applyFill="1" applyBorder="1" applyAlignment="1">
      <alignment horizontal="justify" vertical="center" wrapText="1"/>
    </xf>
    <xf numFmtId="0" fontId="4" fillId="2" borderId="0" xfId="0" applyFont="1" applyFill="1"/>
    <xf numFmtId="0" fontId="0" fillId="2" borderId="0" xfId="0" applyFont="1" applyFill="1" applyAlignment="1">
      <alignment wrapText="1"/>
    </xf>
    <xf numFmtId="0" fontId="0" fillId="2" borderId="0" xfId="0" applyFont="1" applyFill="1" applyAlignment="1">
      <alignment horizontal="justify" vertical="center" wrapText="1"/>
    </xf>
    <xf numFmtId="0" fontId="6" fillId="2" borderId="4" xfId="0" applyFont="1" applyFill="1" applyBorder="1" applyAlignment="1">
      <alignment horizontal="justify" vertical="center" wrapText="1"/>
    </xf>
    <xf numFmtId="0" fontId="8" fillId="2" borderId="0" xfId="0" applyFont="1" applyFill="1" applyAlignment="1">
      <alignment horizontal="center" wrapText="1"/>
    </xf>
    <xf numFmtId="0" fontId="2" fillId="2" borderId="4" xfId="0" applyFont="1" applyFill="1" applyBorder="1" applyAlignment="1">
      <alignment horizontal="justify" vertical="center" wrapText="1"/>
    </xf>
    <xf numFmtId="165" fontId="0" fillId="2" borderId="4" xfId="3" applyNumberFormat="1" applyFont="1" applyFill="1" applyBorder="1"/>
    <xf numFmtId="165" fontId="0" fillId="2" borderId="2" xfId="3" applyNumberFormat="1" applyFont="1" applyFill="1" applyBorder="1"/>
    <xf numFmtId="165" fontId="0" fillId="2" borderId="0" xfId="3" applyNumberFormat="1" applyFont="1" applyFill="1"/>
    <xf numFmtId="165" fontId="8" fillId="2" borderId="0" xfId="3" applyNumberFormat="1" applyFont="1" applyFill="1" applyAlignment="1">
      <alignment horizontal="center" wrapText="1"/>
    </xf>
    <xf numFmtId="0" fontId="6" fillId="2" borderId="1" xfId="0" applyFont="1" applyFill="1" applyBorder="1" applyAlignment="1">
      <alignment horizontal="justify" vertical="center" wrapText="1"/>
    </xf>
    <xf numFmtId="165" fontId="0" fillId="2" borderId="1" xfId="3" applyNumberFormat="1" applyFont="1" applyFill="1" applyBorder="1"/>
    <xf numFmtId="0" fontId="6" fillId="2" borderId="2" xfId="0" applyFont="1" applyFill="1" applyBorder="1" applyAlignment="1">
      <alignment horizontal="justify" vertical="center" wrapText="1"/>
    </xf>
    <xf numFmtId="165" fontId="0" fillId="2" borderId="3" xfId="3" applyNumberFormat="1" applyFont="1" applyFill="1" applyBorder="1"/>
    <xf numFmtId="0" fontId="0" fillId="2" borderId="0" xfId="0" applyFont="1" applyFill="1" applyAlignment="1">
      <alignment horizontal="center" vertical="center" wrapText="1"/>
    </xf>
    <xf numFmtId="0" fontId="6" fillId="2" borderId="1"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7" fillId="2" borderId="0" xfId="0" applyFont="1" applyFill="1" applyAlignment="1">
      <alignment horizontal="center" wrapText="1"/>
    </xf>
    <xf numFmtId="0" fontId="6" fillId="4" borderId="1" xfId="0" applyFont="1" applyFill="1" applyBorder="1" applyAlignment="1">
      <alignment horizontal="justify" vertical="center" wrapText="1"/>
    </xf>
    <xf numFmtId="0" fontId="6" fillId="4" borderId="1" xfId="0" applyFont="1" applyFill="1" applyBorder="1" applyAlignment="1">
      <alignment horizontal="center" vertical="center" wrapText="1"/>
    </xf>
    <xf numFmtId="0" fontId="3" fillId="4" borderId="1" xfId="0" applyFont="1" applyFill="1" applyBorder="1" applyAlignment="1">
      <alignment horizontal="center" vertical="center" wrapText="1"/>
    </xf>
    <xf numFmtId="165" fontId="0" fillId="4" borderId="1" xfId="3" applyNumberFormat="1" applyFont="1" applyFill="1" applyBorder="1"/>
    <xf numFmtId="0" fontId="6" fillId="4" borderId="4" xfId="0" applyFont="1" applyFill="1" applyBorder="1" applyAlignment="1">
      <alignment horizontal="justify" vertical="center" wrapText="1"/>
    </xf>
    <xf numFmtId="0" fontId="6" fillId="4" borderId="4" xfId="0" applyFont="1" applyFill="1" applyBorder="1" applyAlignment="1">
      <alignment horizontal="center" vertical="center" wrapText="1"/>
    </xf>
    <xf numFmtId="0" fontId="3" fillId="4" borderId="4" xfId="0" applyFont="1" applyFill="1" applyBorder="1" applyAlignment="1">
      <alignment horizontal="center" vertical="center" wrapText="1"/>
    </xf>
    <xf numFmtId="165" fontId="0" fillId="4" borderId="4" xfId="3" applyNumberFormat="1" applyFont="1" applyFill="1" applyBorder="1"/>
    <xf numFmtId="0" fontId="3" fillId="4" borderId="4" xfId="0" applyFont="1" applyFill="1" applyBorder="1" applyAlignment="1">
      <alignment horizontal="justify" vertical="center" wrapText="1"/>
    </xf>
    <xf numFmtId="0" fontId="2" fillId="4" borderId="4" xfId="0" applyFont="1" applyFill="1" applyBorder="1" applyAlignment="1">
      <alignment horizontal="justify" vertical="center" wrapText="1"/>
    </xf>
    <xf numFmtId="0" fontId="2" fillId="4" borderId="4" xfId="0" applyFont="1" applyFill="1" applyBorder="1" applyAlignment="1">
      <alignment horizontal="left" vertical="center" wrapText="1"/>
    </xf>
    <xf numFmtId="0" fontId="3" fillId="4" borderId="4" xfId="0" applyFont="1" applyFill="1" applyBorder="1" applyAlignment="1">
      <alignment vertical="center" wrapText="1"/>
    </xf>
    <xf numFmtId="0" fontId="6" fillId="4" borderId="2" xfId="0" applyFont="1" applyFill="1" applyBorder="1" applyAlignment="1">
      <alignment horizontal="justify" vertical="center" wrapText="1"/>
    </xf>
    <xf numFmtId="0" fontId="6" fillId="4" borderId="2" xfId="0" applyFont="1" applyFill="1" applyBorder="1" applyAlignment="1">
      <alignment horizontal="center" vertical="center" wrapText="1"/>
    </xf>
    <xf numFmtId="165" fontId="0" fillId="4" borderId="17" xfId="3" applyNumberFormat="1" applyFont="1" applyFill="1" applyBorder="1"/>
    <xf numFmtId="165" fontId="0" fillId="4" borderId="2" xfId="3" applyNumberFormat="1" applyFont="1" applyFill="1" applyBorder="1"/>
    <xf numFmtId="0" fontId="0" fillId="0" borderId="0" xfId="0" applyFont="1" applyFill="1"/>
    <xf numFmtId="0" fontId="3" fillId="2" borderId="4" xfId="0" applyFont="1" applyFill="1" applyBorder="1" applyAlignment="1">
      <alignment horizontal="center" vertical="center" wrapText="1"/>
    </xf>
    <xf numFmtId="0" fontId="14" fillId="2" borderId="0" xfId="0" applyFont="1" applyFill="1" applyBorder="1" applyAlignment="1">
      <alignment horizontal="center" vertical="center" wrapText="1"/>
    </xf>
    <xf numFmtId="165" fontId="0" fillId="4" borderId="31" xfId="3" applyNumberFormat="1" applyFont="1" applyFill="1" applyBorder="1"/>
    <xf numFmtId="165" fontId="0" fillId="4" borderId="3" xfId="3" applyNumberFormat="1" applyFont="1" applyFill="1" applyBorder="1"/>
    <xf numFmtId="165" fontId="0" fillId="4" borderId="15" xfId="3" applyNumberFormat="1" applyFont="1" applyFill="1" applyBorder="1"/>
    <xf numFmtId="0" fontId="11" fillId="2" borderId="0" xfId="0" applyFont="1" applyFill="1" applyBorder="1" applyAlignment="1">
      <alignment horizontal="center"/>
    </xf>
    <xf numFmtId="0" fontId="3" fillId="4" borderId="24" xfId="0" applyFont="1" applyFill="1" applyBorder="1" applyAlignment="1">
      <alignment horizontal="center" vertical="center" wrapText="1"/>
    </xf>
    <xf numFmtId="0" fontId="3" fillId="4" borderId="25" xfId="0" applyFont="1" applyFill="1" applyBorder="1" applyAlignment="1">
      <alignment horizontal="center" vertical="center" wrapText="1"/>
    </xf>
    <xf numFmtId="0" fontId="3" fillId="4" borderId="27" xfId="0" applyFont="1" applyFill="1" applyBorder="1" applyAlignment="1">
      <alignment horizontal="center" vertical="center" wrapText="1"/>
    </xf>
    <xf numFmtId="0" fontId="3" fillId="2" borderId="24" xfId="0" applyFont="1" applyFill="1" applyBorder="1" applyAlignment="1">
      <alignment horizontal="center" vertical="center" wrapText="1"/>
    </xf>
    <xf numFmtId="0" fontId="3" fillId="2" borderId="25" xfId="0" applyFont="1" applyFill="1" applyBorder="1" applyAlignment="1">
      <alignment horizontal="center" vertical="center" wrapText="1"/>
    </xf>
    <xf numFmtId="0" fontId="3" fillId="2" borderId="27" xfId="0" applyFont="1" applyFill="1" applyBorder="1" applyAlignment="1">
      <alignment horizontal="center" vertical="center" wrapText="1"/>
    </xf>
    <xf numFmtId="165" fontId="0" fillId="4" borderId="7" xfId="3" applyNumberFormat="1" applyFont="1" applyFill="1" applyBorder="1"/>
    <xf numFmtId="165" fontId="0" fillId="4" borderId="6" xfId="3" applyNumberFormat="1" applyFont="1" applyFill="1" applyBorder="1"/>
    <xf numFmtId="165" fontId="0" fillId="4" borderId="8" xfId="3" applyNumberFormat="1" applyFont="1" applyFill="1" applyBorder="1"/>
    <xf numFmtId="165" fontId="0" fillId="2" borderId="5" xfId="3" applyNumberFormat="1" applyFont="1" applyFill="1" applyBorder="1"/>
    <xf numFmtId="165" fontId="0" fillId="2" borderId="6" xfId="3" applyNumberFormat="1" applyFont="1" applyFill="1" applyBorder="1"/>
    <xf numFmtId="165" fontId="0" fillId="2" borderId="8" xfId="3" applyNumberFormat="1" applyFont="1" applyFill="1" applyBorder="1"/>
    <xf numFmtId="165" fontId="0" fillId="2" borderId="7" xfId="3" applyNumberFormat="1" applyFont="1" applyFill="1" applyBorder="1"/>
    <xf numFmtId="165" fontId="0" fillId="4" borderId="21" xfId="3" applyNumberFormat="1" applyFont="1" applyFill="1" applyBorder="1"/>
    <xf numFmtId="165" fontId="0" fillId="4" borderId="25" xfId="3" applyNumberFormat="1" applyFont="1" applyFill="1" applyBorder="1"/>
    <xf numFmtId="165" fontId="0" fillId="4" borderId="22" xfId="3" applyNumberFormat="1" applyFont="1" applyFill="1" applyBorder="1"/>
    <xf numFmtId="165" fontId="0" fillId="4" borderId="11" xfId="3" applyNumberFormat="1" applyFont="1" applyFill="1" applyBorder="1"/>
    <xf numFmtId="165" fontId="0" fillId="4" borderId="24" xfId="3" applyNumberFormat="1" applyFont="1" applyFill="1" applyBorder="1"/>
    <xf numFmtId="165" fontId="0" fillId="4" borderId="27" xfId="3" applyNumberFormat="1" applyFont="1" applyFill="1" applyBorder="1"/>
    <xf numFmtId="165" fontId="0" fillId="2" borderId="24" xfId="3" applyNumberFormat="1" applyFont="1" applyFill="1" applyBorder="1"/>
    <xf numFmtId="165" fontId="0" fillId="2" borderId="25" xfId="3" applyNumberFormat="1" applyFont="1" applyFill="1" applyBorder="1"/>
    <xf numFmtId="165" fontId="0" fillId="2" borderId="27" xfId="3" applyNumberFormat="1" applyFont="1" applyFill="1" applyBorder="1"/>
    <xf numFmtId="165" fontId="0" fillId="2" borderId="0" xfId="3" applyNumberFormat="1" applyFont="1" applyFill="1" applyBorder="1"/>
    <xf numFmtId="165" fontId="0" fillId="2" borderId="11" xfId="3" applyNumberFormat="1" applyFont="1" applyFill="1" applyBorder="1"/>
    <xf numFmtId="0" fontId="0" fillId="2" borderId="0" xfId="0" applyFont="1" applyFill="1" applyBorder="1" applyAlignment="1">
      <alignment horizontal="center" vertical="center" wrapText="1"/>
    </xf>
    <xf numFmtId="0" fontId="9" fillId="2" borderId="0" xfId="0" applyFont="1" applyFill="1" applyBorder="1" applyAlignment="1">
      <alignment horizontal="center" vertical="center" wrapText="1"/>
    </xf>
    <xf numFmtId="0" fontId="6" fillId="2" borderId="0" xfId="0" applyFont="1" applyFill="1" applyBorder="1" applyAlignment="1">
      <alignment horizontal="justify" vertical="center" wrapText="1"/>
    </xf>
    <xf numFmtId="0" fontId="6" fillId="2" borderId="0" xfId="0" applyFont="1" applyFill="1" applyBorder="1" applyAlignment="1">
      <alignment horizontal="center" vertical="center" wrapText="1"/>
    </xf>
    <xf numFmtId="0" fontId="3" fillId="2" borderId="0" xfId="0" applyFont="1" applyFill="1" applyBorder="1" applyAlignment="1">
      <alignment horizontal="center" vertical="center" wrapText="1"/>
    </xf>
    <xf numFmtId="165" fontId="0" fillId="4" borderId="35" xfId="3" applyNumberFormat="1" applyFont="1" applyFill="1" applyBorder="1"/>
    <xf numFmtId="165" fontId="0" fillId="4" borderId="26" xfId="3" applyNumberFormat="1" applyFont="1" applyFill="1" applyBorder="1"/>
    <xf numFmtId="165" fontId="0" fillId="2" borderId="35" xfId="3" applyNumberFormat="1" applyFont="1" applyFill="1" applyBorder="1"/>
    <xf numFmtId="165" fontId="15" fillId="4" borderId="9" xfId="3" applyNumberFormat="1" applyFont="1" applyFill="1" applyBorder="1"/>
    <xf numFmtId="165" fontId="0" fillId="2" borderId="0" xfId="0" applyNumberFormat="1" applyFont="1" applyFill="1"/>
    <xf numFmtId="165" fontId="15" fillId="4" borderId="28" xfId="3" applyNumberFormat="1" applyFont="1" applyFill="1" applyBorder="1"/>
    <xf numFmtId="165" fontId="0" fillId="2" borderId="38" xfId="0" applyNumberFormat="1" applyFont="1" applyFill="1" applyBorder="1"/>
    <xf numFmtId="165" fontId="0" fillId="2" borderId="39" xfId="0" applyNumberFormat="1" applyFont="1" applyFill="1" applyBorder="1"/>
    <xf numFmtId="165" fontId="0" fillId="2" borderId="37" xfId="0" applyNumberFormat="1" applyFont="1" applyFill="1" applyBorder="1"/>
    <xf numFmtId="165" fontId="0" fillId="4" borderId="37" xfId="0" applyNumberFormat="1" applyFont="1" applyFill="1" applyBorder="1"/>
    <xf numFmtId="165" fontId="0" fillId="4" borderId="38" xfId="0" applyNumberFormat="1" applyFont="1" applyFill="1" applyBorder="1"/>
    <xf numFmtId="165" fontId="0" fillId="4" borderId="39" xfId="0" applyNumberFormat="1" applyFont="1" applyFill="1" applyBorder="1"/>
    <xf numFmtId="165" fontId="0" fillId="2" borderId="14" xfId="0" applyNumberFormat="1" applyFont="1" applyFill="1" applyBorder="1"/>
    <xf numFmtId="165" fontId="0" fillId="2" borderId="9" xfId="0" applyNumberFormat="1" applyFont="1" applyFill="1" applyBorder="1"/>
    <xf numFmtId="165" fontId="11" fillId="9" borderId="9" xfId="0" applyNumberFormat="1" applyFont="1" applyFill="1" applyBorder="1"/>
    <xf numFmtId="166" fontId="0" fillId="2" borderId="0" xfId="4" applyNumberFormat="1" applyFont="1" applyFill="1" applyAlignment="1">
      <alignment wrapText="1"/>
    </xf>
    <xf numFmtId="166" fontId="0" fillId="2" borderId="0" xfId="4" applyNumberFormat="1" applyFont="1" applyFill="1"/>
    <xf numFmtId="44" fontId="0" fillId="2" borderId="0" xfId="3" applyFont="1" applyFill="1"/>
    <xf numFmtId="9" fontId="0" fillId="2" borderId="0" xfId="5" applyFont="1" applyFill="1"/>
    <xf numFmtId="9" fontId="0" fillId="2" borderId="0" xfId="5" applyNumberFormat="1" applyFont="1" applyFill="1"/>
    <xf numFmtId="0" fontId="2" fillId="2" borderId="4" xfId="0" applyFont="1" applyFill="1" applyBorder="1" applyAlignment="1">
      <alignment horizontal="left" vertical="center" wrapText="1"/>
    </xf>
    <xf numFmtId="0" fontId="3" fillId="2" borderId="4" xfId="0" applyFont="1" applyFill="1" applyBorder="1" applyAlignment="1">
      <alignment vertical="center" wrapText="1"/>
    </xf>
    <xf numFmtId="165" fontId="0" fillId="2" borderId="20" xfId="3" applyNumberFormat="1" applyFont="1" applyFill="1" applyBorder="1"/>
    <xf numFmtId="2" fontId="0" fillId="4" borderId="1" xfId="0" applyNumberFormat="1" applyFill="1" applyBorder="1" applyAlignment="1">
      <alignment horizontal="justify" vertical="center" wrapText="1"/>
    </xf>
    <xf numFmtId="2" fontId="0" fillId="4" borderId="4" xfId="0" applyNumberFormat="1" applyFill="1" applyBorder="1" applyAlignment="1">
      <alignment horizontal="left" vertical="center" wrapText="1"/>
    </xf>
    <xf numFmtId="0" fontId="5" fillId="4" borderId="4" xfId="0" applyFont="1" applyFill="1" applyBorder="1" applyAlignment="1">
      <alignment horizontal="justify" vertical="center" wrapText="1"/>
    </xf>
    <xf numFmtId="0" fontId="0" fillId="4" borderId="4" xfId="0" applyFont="1" applyFill="1" applyBorder="1" applyAlignment="1">
      <alignment horizontal="center" vertical="center"/>
    </xf>
    <xf numFmtId="2" fontId="0" fillId="4" borderId="4" xfId="0" applyNumberFormat="1" applyFill="1" applyBorder="1" applyAlignment="1">
      <alignment horizontal="justify" vertical="center" wrapText="1"/>
    </xf>
    <xf numFmtId="2" fontId="0" fillId="4" borderId="2" xfId="0" applyNumberFormat="1" applyFill="1" applyBorder="1" applyAlignment="1">
      <alignment horizontal="justify" vertical="center" wrapText="1"/>
    </xf>
    <xf numFmtId="0" fontId="3" fillId="4" borderId="2" xfId="0" applyFont="1" applyFill="1" applyBorder="1" applyAlignment="1">
      <alignment horizontal="center" vertical="center" wrapText="1"/>
    </xf>
    <xf numFmtId="165" fontId="0" fillId="2" borderId="41" xfId="3" applyNumberFormat="1" applyFont="1" applyFill="1" applyBorder="1"/>
    <xf numFmtId="0" fontId="3" fillId="4" borderId="1" xfId="0" applyFont="1" applyFill="1" applyBorder="1" applyAlignment="1">
      <alignment horizontal="justify" vertical="center" wrapText="1"/>
    </xf>
    <xf numFmtId="0" fontId="6" fillId="4" borderId="25" xfId="0" applyFont="1" applyFill="1" applyBorder="1" applyAlignment="1">
      <alignment horizontal="center" vertical="center" wrapText="1"/>
    </xf>
    <xf numFmtId="165" fontId="0" fillId="4" borderId="20" xfId="3" applyNumberFormat="1" applyFont="1" applyFill="1" applyBorder="1"/>
    <xf numFmtId="0" fontId="6" fillId="2" borderId="17" xfId="0" applyFont="1" applyFill="1" applyBorder="1" applyAlignment="1">
      <alignment horizontal="justify" vertical="center" wrapText="1"/>
    </xf>
    <xf numFmtId="0" fontId="6" fillId="2" borderId="17" xfId="0" applyFont="1" applyFill="1" applyBorder="1" applyAlignment="1">
      <alignment horizontal="center" vertical="center" wrapText="1"/>
    </xf>
    <xf numFmtId="0" fontId="3" fillId="2" borderId="26" xfId="0" applyFont="1" applyFill="1" applyBorder="1" applyAlignment="1">
      <alignment horizontal="center" vertical="center" wrapText="1"/>
    </xf>
    <xf numFmtId="165" fontId="0" fillId="2" borderId="17" xfId="3" applyNumberFormat="1" applyFont="1" applyFill="1" applyBorder="1"/>
    <xf numFmtId="165" fontId="0" fillId="2" borderId="34" xfId="3" applyNumberFormat="1" applyFont="1" applyFill="1" applyBorder="1"/>
    <xf numFmtId="165" fontId="0" fillId="2" borderId="26" xfId="3" applyNumberFormat="1" applyFont="1" applyFill="1" applyBorder="1"/>
    <xf numFmtId="165" fontId="0" fillId="2" borderId="43" xfId="0" applyNumberFormat="1" applyFont="1" applyFill="1" applyBorder="1"/>
    <xf numFmtId="165" fontId="0" fillId="2" borderId="42" xfId="3" applyNumberFormat="1" applyFont="1" applyFill="1" applyBorder="1"/>
    <xf numFmtId="165" fontId="0" fillId="2" borderId="4" xfId="3" applyNumberFormat="1" applyFont="1" applyFill="1" applyBorder="1" applyAlignment="1">
      <alignment horizontal="center" vertical="center"/>
    </xf>
    <xf numFmtId="165" fontId="0" fillId="2" borderId="33" xfId="3" applyNumberFormat="1" applyFont="1" applyFill="1" applyBorder="1"/>
    <xf numFmtId="165" fontId="0" fillId="2" borderId="3" xfId="3" applyNumberFormat="1" applyFont="1" applyFill="1" applyBorder="1" applyAlignment="1">
      <alignment horizontal="center" vertical="center"/>
    </xf>
    <xf numFmtId="0" fontId="8" fillId="2" borderId="28" xfId="0" applyFont="1" applyFill="1" applyBorder="1" applyAlignment="1">
      <alignment horizontal="center" vertical="center" wrapText="1"/>
    </xf>
    <xf numFmtId="0" fontId="8" fillId="2" borderId="0" xfId="0" applyFont="1" applyFill="1" applyBorder="1" applyAlignment="1">
      <alignment horizontal="center" vertical="center" wrapText="1"/>
    </xf>
    <xf numFmtId="165" fontId="8" fillId="2" borderId="0" xfId="0" applyNumberFormat="1" applyFont="1" applyFill="1" applyBorder="1" applyAlignment="1">
      <alignment horizontal="center"/>
    </xf>
    <xf numFmtId="0" fontId="17" fillId="10" borderId="28" xfId="0" applyFont="1" applyFill="1" applyBorder="1" applyAlignment="1">
      <alignment horizontal="center" vertical="center" wrapText="1"/>
    </xf>
    <xf numFmtId="2" fontId="12" fillId="6" borderId="16" xfId="0" applyNumberFormat="1" applyFont="1" applyFill="1" applyBorder="1" applyAlignment="1">
      <alignment horizontal="center" vertical="center" wrapText="1"/>
    </xf>
    <xf numFmtId="2" fontId="12" fillId="7" borderId="16" xfId="0" applyNumberFormat="1" applyFont="1" applyFill="1" applyBorder="1" applyAlignment="1">
      <alignment horizontal="center" vertical="center" wrapText="1"/>
    </xf>
    <xf numFmtId="2" fontId="12" fillId="5" borderId="16" xfId="0" applyNumberFormat="1" applyFont="1" applyFill="1" applyBorder="1" applyAlignment="1">
      <alignment horizontal="center" vertical="center" wrapText="1"/>
    </xf>
    <xf numFmtId="0" fontId="12" fillId="3" borderId="0" xfId="0" applyFont="1" applyFill="1" applyBorder="1" applyAlignment="1">
      <alignment horizontal="center" vertical="center" wrapText="1"/>
    </xf>
    <xf numFmtId="0" fontId="12" fillId="3" borderId="41" xfId="0" applyFont="1" applyFill="1" applyBorder="1" applyAlignment="1">
      <alignment horizontal="center" vertical="center" wrapText="1"/>
    </xf>
    <xf numFmtId="2" fontId="12" fillId="7" borderId="10" xfId="0" applyNumberFormat="1" applyFont="1" applyFill="1" applyBorder="1" applyAlignment="1">
      <alignment horizontal="center" vertical="center" wrapText="1"/>
    </xf>
    <xf numFmtId="2" fontId="12" fillId="7" borderId="41" xfId="0" applyNumberFormat="1" applyFont="1" applyFill="1" applyBorder="1" applyAlignment="1">
      <alignment horizontal="center" vertical="center" wrapText="1"/>
    </xf>
    <xf numFmtId="2" fontId="12" fillId="6" borderId="10" xfId="0" applyNumberFormat="1" applyFont="1" applyFill="1" applyBorder="1" applyAlignment="1">
      <alignment horizontal="center" vertical="center" wrapText="1"/>
    </xf>
    <xf numFmtId="2" fontId="12" fillId="6" borderId="41" xfId="0" applyNumberFormat="1" applyFont="1" applyFill="1" applyBorder="1" applyAlignment="1">
      <alignment horizontal="center" vertical="center" wrapText="1"/>
    </xf>
    <xf numFmtId="2" fontId="12" fillId="5" borderId="10" xfId="0" applyNumberFormat="1" applyFont="1" applyFill="1" applyBorder="1" applyAlignment="1">
      <alignment horizontal="center" vertical="center" wrapText="1"/>
    </xf>
    <xf numFmtId="2" fontId="12" fillId="5" borderId="41" xfId="0" applyNumberFormat="1" applyFont="1" applyFill="1" applyBorder="1" applyAlignment="1">
      <alignment horizontal="center" vertical="center" wrapText="1"/>
    </xf>
    <xf numFmtId="0" fontId="12" fillId="8" borderId="13" xfId="0" applyFont="1" applyFill="1" applyBorder="1" applyAlignment="1">
      <alignment horizontal="center" vertical="center" wrapText="1"/>
    </xf>
    <xf numFmtId="166" fontId="12" fillId="8" borderId="13" xfId="4" applyNumberFormat="1" applyFont="1" applyFill="1" applyBorder="1" applyAlignment="1">
      <alignment horizontal="center" vertical="center" wrapText="1"/>
    </xf>
    <xf numFmtId="0" fontId="19" fillId="0" borderId="0" xfId="0" applyFont="1"/>
    <xf numFmtId="0" fontId="20" fillId="11" borderId="4" xfId="0" applyFont="1" applyFill="1" applyBorder="1" applyAlignment="1">
      <alignment horizontal="left" vertical="center"/>
    </xf>
    <xf numFmtId="0" fontId="18" fillId="11" borderId="4" xfId="0" applyFont="1" applyFill="1" applyBorder="1" applyAlignment="1">
      <alignment horizontal="left" vertical="center"/>
    </xf>
    <xf numFmtId="0" fontId="18" fillId="11" borderId="4" xfId="0" applyFont="1" applyFill="1" applyBorder="1" applyAlignment="1">
      <alignment horizontal="center" vertical="center" wrapText="1"/>
    </xf>
    <xf numFmtId="0" fontId="18" fillId="11" borderId="4" xfId="0" applyFont="1" applyFill="1" applyBorder="1" applyAlignment="1">
      <alignment horizontal="right" vertical="center" wrapText="1"/>
    </xf>
    <xf numFmtId="0" fontId="21" fillId="11" borderId="4" xfId="0" applyFont="1" applyFill="1" applyBorder="1" applyAlignment="1">
      <alignment horizontal="left" wrapText="1"/>
    </xf>
    <xf numFmtId="0" fontId="21" fillId="11" borderId="4" xfId="0" applyFont="1" applyFill="1" applyBorder="1" applyAlignment="1">
      <alignment horizontal="right" wrapText="1"/>
    </xf>
    <xf numFmtId="0" fontId="19" fillId="11" borderId="4" xfId="0" applyFont="1" applyFill="1" applyBorder="1" applyAlignment="1">
      <alignment horizontal="left" wrapText="1"/>
    </xf>
    <xf numFmtId="0" fontId="21" fillId="11" borderId="4" xfId="0" applyFont="1" applyFill="1" applyBorder="1" applyAlignment="1">
      <alignment wrapText="1"/>
    </xf>
    <xf numFmtId="0" fontId="19" fillId="0" borderId="4" xfId="0" applyFont="1" applyBorder="1" applyAlignment="1">
      <alignment horizontal="right" vertical="top"/>
    </xf>
    <xf numFmtId="0" fontId="19" fillId="0" borderId="4" xfId="0" applyFont="1" applyBorder="1" applyAlignment="1">
      <alignment horizontal="left" vertical="top" wrapText="1"/>
    </xf>
    <xf numFmtId="0" fontId="19" fillId="0" borderId="4" xfId="0" applyFont="1" applyBorder="1" applyAlignment="1">
      <alignment horizontal="left" vertical="top"/>
    </xf>
    <xf numFmtId="0" fontId="19" fillId="0" borderId="4" xfId="0" applyFont="1" applyBorder="1" applyAlignment="1">
      <alignment vertical="top" wrapText="1"/>
    </xf>
    <xf numFmtId="0" fontId="19" fillId="0" borderId="4" xfId="0" applyFont="1" applyBorder="1" applyAlignment="1">
      <alignment horizontal="right" vertical="top" indent="2"/>
    </xf>
    <xf numFmtId="0" fontId="19" fillId="0" borderId="4" xfId="0" applyFont="1" applyBorder="1" applyAlignment="1">
      <alignment horizontal="left"/>
    </xf>
    <xf numFmtId="0" fontId="19" fillId="2" borderId="4" xfId="0" applyFont="1" applyFill="1" applyBorder="1" applyAlignment="1">
      <alignment horizontal="right" vertical="top"/>
    </xf>
    <xf numFmtId="0" fontId="19" fillId="0" borderId="44" xfId="0" applyFont="1" applyBorder="1" applyAlignment="1">
      <alignment horizontal="left" vertical="center"/>
    </xf>
    <xf numFmtId="0" fontId="19" fillId="0" borderId="4" xfId="0" applyFont="1" applyBorder="1" applyAlignment="1">
      <alignment horizontal="left" vertical="center"/>
    </xf>
    <xf numFmtId="0" fontId="19" fillId="0" borderId="25" xfId="0" applyFont="1" applyBorder="1" applyAlignment="1">
      <alignment horizontal="justify" vertical="center" wrapText="1"/>
    </xf>
    <xf numFmtId="0" fontId="19" fillId="0" borderId="4" xfId="0" applyFont="1" applyBorder="1" applyAlignment="1">
      <alignment horizontal="left" vertical="center" wrapText="1"/>
    </xf>
    <xf numFmtId="0" fontId="19" fillId="0" borderId="17" xfId="0" applyFont="1" applyBorder="1" applyAlignment="1">
      <alignment horizontal="left" vertical="center" wrapText="1"/>
    </xf>
    <xf numFmtId="0" fontId="19" fillId="0" borderId="4" xfId="0" applyFont="1" applyBorder="1" applyAlignment="1">
      <alignment horizontal="right"/>
    </xf>
    <xf numFmtId="0" fontId="19" fillId="0" borderId="4" xfId="0" applyFont="1" applyFill="1" applyBorder="1" applyAlignment="1">
      <alignment horizontal="left" vertical="center"/>
    </xf>
    <xf numFmtId="166" fontId="19" fillId="0" borderId="4" xfId="4" applyNumberFormat="1" applyFont="1" applyBorder="1" applyAlignment="1">
      <alignment horizontal="left"/>
    </xf>
    <xf numFmtId="0" fontId="19" fillId="2" borderId="4" xfId="0" applyFont="1" applyFill="1" applyBorder="1" applyAlignment="1">
      <alignment horizontal="left" vertical="center" wrapText="1"/>
    </xf>
    <xf numFmtId="0" fontId="19" fillId="0" borderId="4" xfId="0" applyFont="1" applyBorder="1" applyAlignment="1">
      <alignment wrapText="1"/>
    </xf>
    <xf numFmtId="0" fontId="19" fillId="0" borderId="4" xfId="0" applyFont="1" applyFill="1" applyBorder="1" applyAlignment="1">
      <alignment wrapText="1"/>
    </xf>
    <xf numFmtId="0" fontId="22" fillId="0" borderId="4" xfId="0" applyFont="1" applyBorder="1" applyAlignment="1">
      <alignment wrapText="1"/>
    </xf>
    <xf numFmtId="0" fontId="18" fillId="11" borderId="4" xfId="0" applyFont="1" applyFill="1" applyBorder="1" applyAlignment="1">
      <alignment horizontal="left" wrapText="1"/>
    </xf>
    <xf numFmtId="0" fontId="19" fillId="0" borderId="4" xfId="0" applyFont="1" applyFill="1" applyBorder="1" applyAlignment="1">
      <alignment horizontal="left" vertical="top"/>
    </xf>
    <xf numFmtId="0" fontId="21" fillId="11" borderId="4" xfId="0" applyFont="1" applyFill="1" applyBorder="1" applyAlignment="1">
      <alignment horizontal="right" vertical="center" wrapText="1"/>
    </xf>
    <xf numFmtId="0" fontId="21" fillId="11" borderId="4" xfId="0" applyFont="1" applyFill="1" applyBorder="1" applyAlignment="1">
      <alignment horizontal="left" vertical="center" wrapText="1"/>
    </xf>
    <xf numFmtId="0" fontId="19" fillId="11" borderId="4" xfId="0" applyFont="1" applyFill="1" applyBorder="1" applyAlignment="1">
      <alignment horizontal="left" vertical="center" wrapText="1"/>
    </xf>
    <xf numFmtId="0" fontId="21" fillId="11" borderId="4" xfId="0" applyFont="1" applyFill="1" applyBorder="1" applyAlignment="1">
      <alignment vertical="center" wrapText="1"/>
    </xf>
    <xf numFmtId="0" fontId="19" fillId="0" borderId="0" xfId="0" applyFont="1" applyAlignment="1">
      <alignment vertical="top"/>
    </xf>
    <xf numFmtId="0" fontId="19" fillId="0" borderId="0" xfId="0" applyFont="1" applyAlignment="1">
      <alignment horizontal="right"/>
    </xf>
    <xf numFmtId="0" fontId="19" fillId="0" borderId="0" xfId="0" applyFont="1" applyAlignment="1">
      <alignment horizontal="left" vertical="center" wrapText="1"/>
    </xf>
    <xf numFmtId="0" fontId="19" fillId="0" borderId="0" xfId="0" applyFont="1" applyAlignment="1">
      <alignment horizontal="left"/>
    </xf>
    <xf numFmtId="0" fontId="19" fillId="0" borderId="0" xfId="0" applyFont="1" applyAlignment="1">
      <alignment wrapText="1"/>
    </xf>
    <xf numFmtId="0" fontId="20" fillId="0" borderId="0" xfId="0" applyFont="1" applyAlignment="1">
      <alignment horizontal="left" vertical="center" wrapText="1"/>
    </xf>
    <xf numFmtId="0" fontId="20" fillId="0" borderId="0" xfId="0" applyFont="1"/>
    <xf numFmtId="165" fontId="19" fillId="0" borderId="0" xfId="3" applyNumberFormat="1" applyFont="1" applyAlignment="1">
      <alignment horizontal="center" vertical="center"/>
    </xf>
    <xf numFmtId="165" fontId="18" fillId="11" borderId="4" xfId="3" applyNumberFormat="1" applyFont="1" applyFill="1" applyBorder="1" applyAlignment="1">
      <alignment horizontal="center" vertical="center" wrapText="1"/>
    </xf>
    <xf numFmtId="165" fontId="21" fillId="11" borderId="4" xfId="3" applyNumberFormat="1" applyFont="1" applyFill="1" applyBorder="1" applyAlignment="1">
      <alignment horizontal="center" vertical="center" wrapText="1"/>
    </xf>
    <xf numFmtId="165" fontId="19" fillId="0" borderId="4" xfId="3" applyNumberFormat="1" applyFont="1" applyBorder="1" applyAlignment="1">
      <alignment horizontal="center" vertical="center"/>
    </xf>
    <xf numFmtId="165" fontId="19" fillId="0" borderId="17" xfId="3" applyNumberFormat="1" applyFont="1" applyBorder="1" applyAlignment="1">
      <alignment horizontal="center" vertical="center"/>
    </xf>
    <xf numFmtId="165" fontId="19" fillId="2" borderId="1" xfId="3" applyNumberFormat="1" applyFont="1" applyFill="1" applyBorder="1" applyAlignment="1">
      <alignment horizontal="center" vertical="center"/>
    </xf>
    <xf numFmtId="165" fontId="19" fillId="2" borderId="4" xfId="3" applyNumberFormat="1" applyFont="1" applyFill="1" applyBorder="1" applyAlignment="1">
      <alignment horizontal="center" vertical="center"/>
    </xf>
    <xf numFmtId="0" fontId="18" fillId="11" borderId="4" xfId="0" applyFont="1" applyFill="1" applyBorder="1" applyAlignment="1">
      <alignment horizontal="center" vertical="center" wrapText="1"/>
    </xf>
    <xf numFmtId="0" fontId="20" fillId="0" borderId="0" xfId="0" applyFont="1" applyAlignment="1">
      <alignment vertical="center"/>
    </xf>
    <xf numFmtId="0" fontId="19" fillId="0" borderId="0" xfId="0" applyFont="1" applyAlignment="1">
      <alignment horizontal="center" vertical="center"/>
    </xf>
    <xf numFmtId="166" fontId="19" fillId="0" borderId="0" xfId="4" applyNumberFormat="1" applyFont="1"/>
    <xf numFmtId="0" fontId="19" fillId="0" borderId="0" xfId="0" applyFont="1" applyAlignment="1">
      <alignment vertical="center" wrapText="1"/>
    </xf>
    <xf numFmtId="0" fontId="18" fillId="11" borderId="4" xfId="0" applyFont="1" applyFill="1" applyBorder="1" applyAlignment="1">
      <alignment horizontal="center" vertical="center"/>
    </xf>
    <xf numFmtId="167" fontId="18" fillId="11" borderId="4" xfId="0" applyNumberFormat="1" applyFont="1" applyFill="1" applyBorder="1" applyAlignment="1">
      <alignment horizontal="center" vertical="center" wrapText="1"/>
    </xf>
    <xf numFmtId="166" fontId="18" fillId="11" borderId="4" xfId="4" applyNumberFormat="1" applyFont="1" applyFill="1" applyBorder="1" applyAlignment="1">
      <alignment horizontal="center" vertical="center" wrapText="1"/>
    </xf>
    <xf numFmtId="0" fontId="21" fillId="11" borderId="4" xfId="0" applyFont="1" applyFill="1" applyBorder="1" applyAlignment="1">
      <alignment vertical="center"/>
    </xf>
    <xf numFmtId="0" fontId="20" fillId="11" borderId="4" xfId="0" applyFont="1" applyFill="1" applyBorder="1" applyAlignment="1">
      <alignment horizontal="center" vertical="center"/>
    </xf>
    <xf numFmtId="0" fontId="19" fillId="11" borderId="4" xfId="0" applyFont="1" applyFill="1" applyBorder="1" applyAlignment="1">
      <alignment horizontal="center" vertical="center" wrapText="1"/>
    </xf>
    <xf numFmtId="0" fontId="21" fillId="11" borderId="4" xfId="0" applyFont="1" applyFill="1" applyBorder="1" applyAlignment="1">
      <alignment horizontal="center" vertical="center" wrapText="1"/>
    </xf>
    <xf numFmtId="166" fontId="21" fillId="11" borderId="4" xfId="4" applyNumberFormat="1" applyFont="1" applyFill="1" applyBorder="1" applyAlignment="1">
      <alignment wrapText="1"/>
    </xf>
    <xf numFmtId="0" fontId="19" fillId="0" borderId="4" xfId="0" applyFont="1" applyBorder="1" applyAlignment="1">
      <alignment vertical="center"/>
    </xf>
    <xf numFmtId="0" fontId="19" fillId="0" borderId="4" xfId="0" applyFont="1" applyBorder="1" applyAlignment="1">
      <alignment horizontal="center" vertical="center"/>
    </xf>
    <xf numFmtId="3" fontId="19" fillId="0" borderId="4" xfId="0" applyNumberFormat="1" applyFont="1" applyBorder="1" applyAlignment="1">
      <alignment horizontal="center" vertical="center"/>
    </xf>
    <xf numFmtId="0" fontId="19" fillId="0" borderId="4" xfId="0" applyFont="1" applyBorder="1" applyAlignment="1">
      <alignment vertical="center" wrapText="1"/>
    </xf>
    <xf numFmtId="0" fontId="19" fillId="0" borderId="4" xfId="0" applyFont="1" applyBorder="1" applyAlignment="1">
      <alignment horizontal="center" vertical="center" wrapText="1"/>
    </xf>
    <xf numFmtId="0" fontId="19" fillId="0" borderId="44" xfId="0" applyFont="1" applyBorder="1" applyAlignment="1">
      <alignment horizontal="center" vertical="center"/>
    </xf>
    <xf numFmtId="0" fontId="19" fillId="0" borderId="17" xfId="0" applyFont="1" applyBorder="1" applyAlignment="1">
      <alignment vertical="center"/>
    </xf>
    <xf numFmtId="166" fontId="21" fillId="11" borderId="4" xfId="4" applyNumberFormat="1" applyFont="1" applyFill="1" applyBorder="1" applyAlignment="1">
      <alignment vertical="center" wrapText="1"/>
    </xf>
    <xf numFmtId="0" fontId="19" fillId="0" borderId="4" xfId="0" applyFont="1" applyFill="1" applyBorder="1" applyAlignment="1">
      <alignment horizontal="center" vertical="center"/>
    </xf>
    <xf numFmtId="166" fontId="19" fillId="0" borderId="4" xfId="4" applyNumberFormat="1" applyFont="1" applyBorder="1" applyAlignment="1">
      <alignment horizontal="center" vertical="center"/>
    </xf>
    <xf numFmtId="0" fontId="19" fillId="2" borderId="4" xfId="0" applyFont="1" applyFill="1" applyBorder="1" applyAlignment="1">
      <alignment vertical="center"/>
    </xf>
    <xf numFmtId="166" fontId="19" fillId="0" borderId="4" xfId="4" applyNumberFormat="1" applyFont="1" applyBorder="1"/>
    <xf numFmtId="0" fontId="19" fillId="11" borderId="4" xfId="0" applyFont="1" applyFill="1" applyBorder="1" applyAlignment="1">
      <alignment vertical="center" wrapText="1"/>
    </xf>
    <xf numFmtId="0" fontId="18" fillId="11" borderId="4" xfId="0" applyFont="1" applyFill="1" applyBorder="1" applyAlignment="1">
      <alignment vertical="center"/>
    </xf>
    <xf numFmtId="0" fontId="19" fillId="0" borderId="0" xfId="0" applyFont="1" applyAlignment="1">
      <alignment vertical="center"/>
    </xf>
    <xf numFmtId="0" fontId="18" fillId="0" borderId="0" xfId="0" applyFont="1" applyAlignment="1">
      <alignment horizontal="left" vertical="center" wrapText="1"/>
    </xf>
    <xf numFmtId="0" fontId="18" fillId="0" borderId="0" xfId="0" applyFont="1"/>
    <xf numFmtId="166" fontId="19" fillId="0" borderId="0" xfId="4" applyNumberFormat="1" applyFont="1" applyAlignment="1">
      <alignment vertical="top"/>
    </xf>
    <xf numFmtId="166" fontId="18" fillId="11" borderId="4" xfId="4" applyNumberFormat="1" applyFont="1" applyFill="1" applyBorder="1" applyAlignment="1">
      <alignment horizontal="center" vertical="top" wrapText="1"/>
    </xf>
    <xf numFmtId="166" fontId="19" fillId="0" borderId="4" xfId="4" applyNumberFormat="1" applyFont="1" applyBorder="1" applyAlignment="1">
      <alignment vertical="top"/>
    </xf>
    <xf numFmtId="166" fontId="18" fillId="11" borderId="4" xfId="4" applyNumberFormat="1" applyFont="1" applyFill="1" applyBorder="1" applyAlignment="1">
      <alignment horizontal="center" vertical="top"/>
    </xf>
    <xf numFmtId="166" fontId="23" fillId="11" borderId="4" xfId="4" applyNumberFormat="1" applyFont="1" applyFill="1" applyBorder="1" applyAlignment="1">
      <alignment horizontal="center" vertical="top" wrapText="1"/>
    </xf>
    <xf numFmtId="0" fontId="18" fillId="11" borderId="4" xfId="0" applyFont="1" applyFill="1" applyBorder="1" applyAlignment="1">
      <alignment horizontal="center" vertical="center" wrapText="1"/>
    </xf>
    <xf numFmtId="3" fontId="19" fillId="12" borderId="4" xfId="0" applyNumberFormat="1" applyFont="1" applyFill="1" applyBorder="1" applyAlignment="1">
      <alignment horizontal="center" vertical="center"/>
    </xf>
    <xf numFmtId="0" fontId="19" fillId="12" borderId="4" xfId="0" applyFont="1" applyFill="1" applyBorder="1" applyAlignment="1">
      <alignment vertical="center" wrapText="1"/>
    </xf>
    <xf numFmtId="166" fontId="19" fillId="0" borderId="4" xfId="4" applyNumberFormat="1" applyFont="1" applyBorder="1" applyAlignment="1">
      <alignment vertical="center"/>
    </xf>
    <xf numFmtId="166" fontId="19" fillId="2" borderId="1" xfId="4" applyNumberFormat="1" applyFont="1" applyFill="1" applyBorder="1" applyAlignment="1">
      <alignment vertical="center"/>
    </xf>
    <xf numFmtId="168" fontId="19" fillId="2" borderId="25" xfId="0" applyNumberFormat="1" applyFont="1" applyFill="1" applyBorder="1" applyAlignment="1">
      <alignment vertical="center"/>
    </xf>
    <xf numFmtId="166" fontId="19" fillId="2" borderId="4" xfId="4" applyNumberFormat="1" applyFont="1" applyFill="1" applyBorder="1" applyAlignment="1">
      <alignment vertical="center"/>
    </xf>
    <xf numFmtId="0" fontId="19" fillId="0" borderId="4" xfId="0" applyFont="1" applyBorder="1"/>
    <xf numFmtId="166" fontId="19" fillId="0" borderId="4" xfId="4" applyNumberFormat="1" applyFont="1" applyBorder="1" applyAlignment="1">
      <alignment horizontal="center"/>
    </xf>
    <xf numFmtId="0" fontId="19" fillId="0" borderId="4" xfId="0" applyFont="1" applyBorder="1" applyAlignment="1">
      <alignment horizontal="center"/>
    </xf>
    <xf numFmtId="0" fontId="19" fillId="0" borderId="4" xfId="0" applyFont="1" applyBorder="1" applyAlignment="1">
      <alignment horizontal="center" vertical="top"/>
    </xf>
    <xf numFmtId="0" fontId="19" fillId="0" borderId="4" xfId="0" applyFont="1" applyFill="1" applyBorder="1" applyAlignment="1">
      <alignment horizontal="center" vertical="top"/>
    </xf>
    <xf numFmtId="0" fontId="20" fillId="0" borderId="47" xfId="0" applyFont="1" applyBorder="1" applyAlignment="1">
      <alignment horizontal="center"/>
    </xf>
    <xf numFmtId="0" fontId="19" fillId="0" borderId="0" xfId="0" applyFont="1" applyAlignment="1">
      <alignment horizontal="center"/>
    </xf>
    <xf numFmtId="3" fontId="19" fillId="0" borderId="4" xfId="0" applyNumberFormat="1" applyFont="1" applyBorder="1" applyAlignment="1">
      <alignment vertical="center"/>
    </xf>
    <xf numFmtId="169" fontId="19" fillId="0" borderId="4" xfId="0" applyNumberFormat="1" applyFont="1" applyBorder="1" applyAlignment="1">
      <alignment vertical="center"/>
    </xf>
    <xf numFmtId="166" fontId="19" fillId="2" borderId="1" xfId="4" applyNumberFormat="1" applyFont="1" applyFill="1" applyBorder="1"/>
    <xf numFmtId="0" fontId="20" fillId="0" borderId="4" xfId="0" applyFont="1" applyBorder="1" applyAlignment="1">
      <alignment horizontal="left" vertical="top" wrapText="1"/>
    </xf>
    <xf numFmtId="3" fontId="19" fillId="2" borderId="4" xfId="0" applyNumberFormat="1" applyFont="1" applyFill="1" applyBorder="1" applyAlignment="1">
      <alignment vertical="center"/>
    </xf>
    <xf numFmtId="3" fontId="19" fillId="0" borderId="4" xfId="0" applyNumberFormat="1" applyFont="1" applyBorder="1" applyAlignment="1">
      <alignment horizontal="right" vertical="center"/>
    </xf>
    <xf numFmtId="3" fontId="19" fillId="0" borderId="4" xfId="0" applyNumberFormat="1" applyFont="1" applyBorder="1"/>
    <xf numFmtId="3" fontId="19" fillId="0" borderId="4" xfId="0" applyNumberFormat="1" applyFont="1" applyFill="1" applyBorder="1"/>
    <xf numFmtId="166" fontId="19" fillId="0" borderId="4" xfId="4" applyNumberFormat="1" applyFont="1" applyFill="1" applyBorder="1"/>
    <xf numFmtId="0" fontId="19" fillId="0" borderId="0" xfId="0" applyFont="1" applyFill="1"/>
    <xf numFmtId="169" fontId="19" fillId="0" borderId="4" xfId="0" applyNumberFormat="1" applyFont="1" applyBorder="1" applyAlignment="1">
      <alignment horizontal="right" vertical="center"/>
    </xf>
    <xf numFmtId="0" fontId="19" fillId="2" borderId="0" xfId="0" applyFont="1" applyFill="1" applyAlignment="1">
      <alignment horizontal="right"/>
    </xf>
    <xf numFmtId="0" fontId="19" fillId="2" borderId="0" xfId="0" applyFont="1" applyFill="1" applyAlignment="1">
      <alignment horizontal="left" vertical="center" wrapText="1"/>
    </xf>
    <xf numFmtId="0" fontId="19" fillId="2" borderId="0" xfId="0" applyFont="1" applyFill="1" applyAlignment="1">
      <alignment horizontal="left"/>
    </xf>
    <xf numFmtId="0" fontId="19" fillId="2" borderId="0" xfId="0" applyFont="1" applyFill="1" applyAlignment="1">
      <alignment wrapText="1"/>
    </xf>
    <xf numFmtId="0" fontId="19" fillId="2" borderId="0" xfId="0" applyFont="1" applyFill="1"/>
    <xf numFmtId="166" fontId="19" fillId="2" borderId="0" xfId="4" applyNumberFormat="1" applyFont="1" applyFill="1"/>
    <xf numFmtId="166" fontId="19" fillId="13" borderId="4" xfId="4" applyNumberFormat="1" applyFont="1" applyFill="1" applyBorder="1" applyAlignment="1">
      <alignment vertical="top"/>
    </xf>
    <xf numFmtId="166" fontId="19" fillId="2" borderId="4" xfId="4" applyNumberFormat="1" applyFont="1" applyFill="1" applyBorder="1" applyAlignment="1">
      <alignment vertical="top"/>
    </xf>
    <xf numFmtId="0" fontId="18" fillId="11" borderId="4" xfId="0" applyFont="1" applyFill="1" applyBorder="1" applyAlignment="1">
      <alignment horizontal="center" vertical="center" wrapText="1"/>
    </xf>
    <xf numFmtId="0" fontId="19" fillId="2" borderId="4" xfId="0" applyFont="1" applyFill="1" applyBorder="1" applyAlignment="1">
      <alignment horizontal="left" vertical="top"/>
    </xf>
    <xf numFmtId="0" fontId="19" fillId="2" borderId="4" xfId="0" applyFont="1" applyFill="1" applyBorder="1" applyAlignment="1">
      <alignment horizontal="left"/>
    </xf>
    <xf numFmtId="0" fontId="19" fillId="2" borderId="4" xfId="0" applyFont="1" applyFill="1" applyBorder="1" applyAlignment="1">
      <alignment horizontal="left" vertical="top" wrapText="1"/>
    </xf>
    <xf numFmtId="166" fontId="19" fillId="0" borderId="0" xfId="0" applyNumberFormat="1" applyFont="1"/>
    <xf numFmtId="0" fontId="18" fillId="11" borderId="4" xfId="0" applyFont="1" applyFill="1" applyBorder="1" applyAlignment="1">
      <alignment horizontal="right" vertical="top"/>
    </xf>
    <xf numFmtId="0" fontId="18" fillId="11" borderId="4" xfId="0" applyFont="1" applyFill="1" applyBorder="1" applyAlignment="1">
      <alignment horizontal="left" vertical="center" wrapText="1"/>
    </xf>
    <xf numFmtId="0" fontId="18" fillId="11" borderId="4" xfId="0" applyFont="1" applyFill="1" applyBorder="1" applyAlignment="1">
      <alignment horizontal="left"/>
    </xf>
    <xf numFmtId="165" fontId="18" fillId="11" borderId="4" xfId="3" applyNumberFormat="1" applyFont="1" applyFill="1" applyBorder="1" applyAlignment="1">
      <alignment horizontal="center" vertical="center"/>
    </xf>
    <xf numFmtId="166" fontId="18" fillId="11" borderId="4" xfId="4" applyNumberFormat="1" applyFont="1" applyFill="1" applyBorder="1" applyAlignment="1">
      <alignment vertical="top"/>
    </xf>
    <xf numFmtId="170" fontId="19" fillId="0" borderId="0" xfId="4" applyNumberFormat="1" applyFont="1" applyAlignment="1">
      <alignment vertical="top"/>
    </xf>
    <xf numFmtId="0" fontId="20" fillId="14" borderId="4" xfId="0" applyFont="1" applyFill="1" applyBorder="1" applyAlignment="1">
      <alignment horizontal="left" vertical="center"/>
    </xf>
    <xf numFmtId="0" fontId="21" fillId="14" borderId="4" xfId="0" applyFont="1" applyFill="1" applyBorder="1" applyAlignment="1">
      <alignment horizontal="left" wrapText="1"/>
    </xf>
    <xf numFmtId="0" fontId="21" fillId="14" borderId="4" xfId="0" applyFont="1" applyFill="1" applyBorder="1" applyAlignment="1">
      <alignment horizontal="right" wrapText="1"/>
    </xf>
    <xf numFmtId="0" fontId="19" fillId="14" borderId="4" xfId="0" applyFont="1" applyFill="1" applyBorder="1" applyAlignment="1">
      <alignment horizontal="left" wrapText="1"/>
    </xf>
    <xf numFmtId="165" fontId="21" fillId="14" borderId="4" xfId="3" applyNumberFormat="1" applyFont="1" applyFill="1" applyBorder="1" applyAlignment="1">
      <alignment horizontal="center" vertical="center" wrapText="1"/>
    </xf>
    <xf numFmtId="0" fontId="19" fillId="14" borderId="4" xfId="0" applyFont="1" applyFill="1" applyBorder="1" applyAlignment="1">
      <alignment horizontal="left" vertical="center"/>
    </xf>
    <xf numFmtId="0" fontId="21" fillId="14" borderId="4" xfId="0" applyFont="1" applyFill="1" applyBorder="1" applyAlignment="1">
      <alignment horizontal="right" vertical="center" wrapText="1"/>
    </xf>
    <xf numFmtId="0" fontId="18" fillId="14" borderId="4" xfId="0" applyFont="1" applyFill="1" applyBorder="1" applyAlignment="1">
      <alignment horizontal="right" wrapText="1"/>
    </xf>
    <xf numFmtId="0" fontId="20" fillId="14" borderId="4" xfId="0" applyFont="1" applyFill="1" applyBorder="1" applyAlignment="1">
      <alignment horizontal="left" wrapText="1"/>
    </xf>
    <xf numFmtId="165" fontId="20" fillId="14" borderId="4" xfId="3" applyNumberFormat="1" applyFont="1" applyFill="1" applyBorder="1" applyAlignment="1">
      <alignment horizontal="center" vertical="center" wrapText="1"/>
    </xf>
    <xf numFmtId="166" fontId="20" fillId="14" borderId="4" xfId="4" applyNumberFormat="1" applyFont="1" applyFill="1" applyBorder="1" applyAlignment="1">
      <alignment horizontal="center" vertical="top"/>
    </xf>
    <xf numFmtId="0" fontId="20" fillId="14" borderId="4" xfId="0" applyFont="1" applyFill="1" applyBorder="1" applyAlignment="1">
      <alignment horizontal="right" vertical="center" wrapText="1"/>
    </xf>
    <xf numFmtId="0" fontId="20" fillId="14" borderId="4" xfId="0" applyFont="1" applyFill="1" applyBorder="1" applyAlignment="1">
      <alignment horizontal="right" wrapText="1"/>
    </xf>
    <xf numFmtId="166" fontId="20" fillId="14" borderId="4" xfId="4" applyNumberFormat="1" applyFont="1" applyFill="1" applyBorder="1" applyAlignment="1">
      <alignment horizontal="center" vertical="top" wrapText="1"/>
    </xf>
    <xf numFmtId="166" fontId="25" fillId="14" borderId="4" xfId="4" applyNumberFormat="1" applyFont="1" applyFill="1" applyBorder="1" applyAlignment="1">
      <alignment horizontal="center" vertical="top" wrapText="1"/>
    </xf>
    <xf numFmtId="166" fontId="19" fillId="14" borderId="4" xfId="4" applyNumberFormat="1" applyFont="1" applyFill="1" applyBorder="1" applyAlignment="1">
      <alignment vertical="top"/>
    </xf>
    <xf numFmtId="165" fontId="20" fillId="11" borderId="4" xfId="3" applyNumberFormat="1" applyFont="1" applyFill="1" applyBorder="1" applyAlignment="1">
      <alignment horizontal="center" vertical="center" wrapText="1"/>
    </xf>
    <xf numFmtId="166" fontId="20" fillId="14" borderId="4" xfId="4" applyNumberFormat="1" applyFont="1" applyFill="1" applyBorder="1" applyAlignment="1">
      <alignment vertical="top"/>
    </xf>
    <xf numFmtId="0" fontId="19" fillId="14" borderId="4" xfId="0" applyFont="1" applyFill="1" applyBorder="1" applyAlignment="1">
      <alignment horizontal="left" vertical="center" wrapText="1"/>
    </xf>
    <xf numFmtId="0" fontId="20" fillId="14" borderId="4" xfId="0" applyFont="1" applyFill="1" applyBorder="1" applyAlignment="1">
      <alignment horizontal="left" vertical="center" wrapText="1"/>
    </xf>
    <xf numFmtId="0" fontId="20" fillId="14" borderId="4" xfId="0" applyFont="1" applyFill="1" applyBorder="1" applyAlignment="1">
      <alignment horizontal="right" vertical="top"/>
    </xf>
    <xf numFmtId="0" fontId="20" fillId="14" borderId="4" xfId="0" applyFont="1" applyFill="1" applyBorder="1" applyAlignment="1">
      <alignment horizontal="left"/>
    </xf>
    <xf numFmtId="165" fontId="20" fillId="14" borderId="4" xfId="3" applyNumberFormat="1" applyFont="1" applyFill="1" applyBorder="1" applyAlignment="1">
      <alignment horizontal="center" vertical="center"/>
    </xf>
    <xf numFmtId="0" fontId="21" fillId="14" borderId="4" xfId="0" applyFont="1" applyFill="1" applyBorder="1" applyAlignment="1">
      <alignment horizontal="left" vertical="center" wrapText="1"/>
    </xf>
    <xf numFmtId="0" fontId="19" fillId="14" borderId="4" xfId="0" applyFont="1" applyFill="1" applyBorder="1" applyAlignment="1">
      <alignment horizontal="right" vertical="top"/>
    </xf>
    <xf numFmtId="0" fontId="19" fillId="14" borderId="4" xfId="0" applyFont="1" applyFill="1" applyBorder="1" applyAlignment="1">
      <alignment horizontal="left"/>
    </xf>
    <xf numFmtId="165" fontId="19" fillId="14" borderId="4" xfId="3" applyNumberFormat="1" applyFont="1" applyFill="1" applyBorder="1" applyAlignment="1">
      <alignment horizontal="center" vertical="center"/>
    </xf>
    <xf numFmtId="166" fontId="19" fillId="14" borderId="4" xfId="5" applyNumberFormat="1" applyFont="1" applyFill="1" applyBorder="1" applyAlignment="1">
      <alignment vertical="top"/>
    </xf>
    <xf numFmtId="166" fontId="20" fillId="14" borderId="4" xfId="5" applyNumberFormat="1" applyFont="1" applyFill="1" applyBorder="1" applyAlignment="1">
      <alignment vertical="top"/>
    </xf>
    <xf numFmtId="0" fontId="18" fillId="11" borderId="4" xfId="0" applyFont="1" applyFill="1" applyBorder="1" applyAlignment="1">
      <alignment horizontal="center" vertical="center" wrapText="1"/>
    </xf>
    <xf numFmtId="166" fontId="19" fillId="0" borderId="0" xfId="4" applyNumberFormat="1" applyFont="1" applyAlignment="1">
      <alignment vertical="top" wrapText="1"/>
    </xf>
    <xf numFmtId="0" fontId="3" fillId="0" borderId="0" xfId="0" applyFont="1"/>
    <xf numFmtId="171" fontId="19" fillId="0" borderId="4" xfId="8" applyNumberFormat="1" applyFont="1" applyBorder="1"/>
    <xf numFmtId="171" fontId="19" fillId="0" borderId="17" xfId="8" applyNumberFormat="1" applyFont="1" applyBorder="1"/>
    <xf numFmtId="171" fontId="19" fillId="2" borderId="1" xfId="8" applyNumberFormat="1" applyFont="1" applyFill="1" applyBorder="1"/>
    <xf numFmtId="171" fontId="19" fillId="2" borderId="4" xfId="8" applyNumberFormat="1" applyFont="1" applyFill="1" applyBorder="1"/>
    <xf numFmtId="171" fontId="19" fillId="0" borderId="4" xfId="8" applyNumberFormat="1" applyFont="1" applyFill="1" applyBorder="1"/>
    <xf numFmtId="171" fontId="19" fillId="10" borderId="4" xfId="8" applyNumberFormat="1" applyFont="1" applyFill="1" applyBorder="1"/>
    <xf numFmtId="0" fontId="19" fillId="10" borderId="4" xfId="0" applyFont="1" applyFill="1" applyBorder="1"/>
    <xf numFmtId="0" fontId="19" fillId="0" borderId="4" xfId="0" applyFont="1" applyFill="1" applyBorder="1"/>
    <xf numFmtId="171" fontId="19" fillId="0" borderId="4" xfId="9" applyNumberFormat="1" applyFont="1" applyBorder="1"/>
    <xf numFmtId="171" fontId="19" fillId="0" borderId="17" xfId="9" applyNumberFormat="1" applyFont="1" applyBorder="1"/>
    <xf numFmtId="171" fontId="19" fillId="2" borderId="1" xfId="9" applyNumberFormat="1" applyFont="1" applyFill="1" applyBorder="1"/>
    <xf numFmtId="171" fontId="19" fillId="2" borderId="4" xfId="9" applyNumberFormat="1" applyFont="1" applyFill="1" applyBorder="1"/>
    <xf numFmtId="171" fontId="19" fillId="0" borderId="4" xfId="9" applyNumberFormat="1" applyFont="1" applyFill="1" applyBorder="1"/>
    <xf numFmtId="171" fontId="19" fillId="10" borderId="4" xfId="9" applyNumberFormat="1" applyFont="1" applyFill="1" applyBorder="1"/>
    <xf numFmtId="0" fontId="0" fillId="0" borderId="0" xfId="0" applyAlignment="1">
      <alignment horizontal="center" vertical="center" wrapText="1"/>
    </xf>
    <xf numFmtId="0" fontId="26" fillId="0" borderId="0" xfId="10"/>
    <xf numFmtId="0" fontId="0" fillId="0" borderId="0" xfId="0" applyAlignment="1">
      <alignment horizontal="center" vertical="center" wrapText="1"/>
    </xf>
    <xf numFmtId="3" fontId="0" fillId="15" borderId="0" xfId="0" applyNumberFormat="1" applyFill="1"/>
    <xf numFmtId="3" fontId="0" fillId="13" borderId="0" xfId="0" applyNumberFormat="1" applyFill="1"/>
    <xf numFmtId="166" fontId="0" fillId="0" borderId="0" xfId="4" applyNumberFormat="1" applyFont="1"/>
    <xf numFmtId="0" fontId="0" fillId="15" borderId="0" xfId="0" applyFill="1"/>
    <xf numFmtId="3" fontId="0" fillId="16" borderId="0" xfId="0" applyNumberFormat="1" applyFill="1"/>
    <xf numFmtId="0" fontId="19" fillId="0" borderId="0" xfId="0" applyFont="1" applyAlignment="1"/>
    <xf numFmtId="3" fontId="19" fillId="0" borderId="0" xfId="0" applyNumberFormat="1" applyFont="1"/>
    <xf numFmtId="0" fontId="19" fillId="0" borderId="4" xfId="0" applyFont="1" applyBorder="1" applyAlignment="1"/>
    <xf numFmtId="166" fontId="20" fillId="14" borderId="25" xfId="4" applyNumberFormat="1" applyFont="1" applyFill="1" applyBorder="1" applyAlignment="1">
      <alignment horizontal="center" vertical="top"/>
    </xf>
    <xf numFmtId="166" fontId="25" fillId="14" borderId="25" xfId="4" applyNumberFormat="1" applyFont="1" applyFill="1" applyBorder="1" applyAlignment="1">
      <alignment horizontal="center" vertical="top" wrapText="1"/>
    </xf>
    <xf numFmtId="1" fontId="19" fillId="0" borderId="4" xfId="0" applyNumberFormat="1" applyFont="1" applyBorder="1" applyAlignment="1">
      <alignment horizontal="center" vertical="center" wrapText="1"/>
    </xf>
    <xf numFmtId="166" fontId="19" fillId="0" borderId="25" xfId="4" applyNumberFormat="1" applyFont="1" applyBorder="1" applyAlignment="1">
      <alignment vertical="top"/>
    </xf>
    <xf numFmtId="166" fontId="20" fillId="14" borderId="25" xfId="4" applyNumberFormat="1" applyFont="1" applyFill="1" applyBorder="1" applyAlignment="1">
      <alignment vertical="top"/>
    </xf>
    <xf numFmtId="43" fontId="19" fillId="0" borderId="4" xfId="4" applyFont="1" applyBorder="1" applyAlignment="1"/>
    <xf numFmtId="166" fontId="19" fillId="0" borderId="4" xfId="0" applyNumberFormat="1" applyFont="1" applyBorder="1" applyAlignment="1"/>
    <xf numFmtId="166" fontId="19" fillId="14" borderId="25" xfId="4" applyNumberFormat="1" applyFont="1" applyFill="1" applyBorder="1" applyAlignment="1">
      <alignment vertical="top"/>
    </xf>
    <xf numFmtId="166" fontId="19" fillId="2" borderId="25" xfId="4" applyNumberFormat="1" applyFont="1" applyFill="1" applyBorder="1" applyAlignment="1">
      <alignment vertical="top"/>
    </xf>
    <xf numFmtId="166" fontId="19" fillId="0" borderId="4" xfId="4" applyNumberFormat="1" applyFont="1" applyBorder="1" applyAlignment="1">
      <alignment vertical="center" wrapText="1"/>
    </xf>
    <xf numFmtId="4" fontId="0" fillId="0" borderId="4" xfId="0" applyNumberFormat="1" applyBorder="1"/>
    <xf numFmtId="0" fontId="0" fillId="0" borderId="4" xfId="0" applyBorder="1"/>
    <xf numFmtId="166" fontId="18" fillId="11" borderId="25" xfId="4" applyNumberFormat="1" applyFont="1" applyFill="1" applyBorder="1" applyAlignment="1">
      <alignment vertical="top"/>
    </xf>
    <xf numFmtId="166" fontId="19" fillId="0" borderId="0" xfId="4" applyNumberFormat="1" applyFont="1" applyAlignment="1"/>
    <xf numFmtId="3" fontId="19" fillId="0" borderId="0" xfId="4" applyNumberFormat="1" applyFont="1"/>
    <xf numFmtId="3" fontId="27" fillId="13" borderId="4" xfId="0" applyNumberFormat="1" applyFont="1" applyFill="1" applyBorder="1"/>
    <xf numFmtId="3" fontId="28" fillId="0" borderId="4" xfId="0" applyNumberFormat="1" applyFont="1" applyBorder="1" applyAlignment="1"/>
    <xf numFmtId="166" fontId="27" fillId="0" borderId="4" xfId="4" applyNumberFormat="1" applyFont="1" applyBorder="1" applyAlignment="1"/>
    <xf numFmtId="0" fontId="27" fillId="0" borderId="4" xfId="0" applyFont="1" applyBorder="1" applyAlignment="1"/>
    <xf numFmtId="0" fontId="30" fillId="0" borderId="0" xfId="0" applyFont="1" applyFill="1" applyAlignment="1">
      <alignment vertical="center"/>
    </xf>
    <xf numFmtId="0" fontId="32" fillId="0" borderId="19" xfId="0" applyFont="1" applyBorder="1" applyAlignment="1">
      <alignment vertical="center"/>
    </xf>
    <xf numFmtId="0" fontId="32" fillId="0" borderId="19" xfId="0" applyFont="1" applyBorder="1" applyAlignment="1">
      <alignment horizontal="right" vertical="center"/>
    </xf>
    <xf numFmtId="0" fontId="34" fillId="0" borderId="0" xfId="0" applyFont="1" applyFill="1" applyAlignment="1">
      <alignment vertical="center"/>
    </xf>
    <xf numFmtId="0" fontId="33" fillId="11" borderId="50" xfId="0" applyFont="1" applyFill="1" applyBorder="1" applyAlignment="1">
      <alignment horizontal="justify" vertical="center" wrapText="1"/>
    </xf>
    <xf numFmtId="0" fontId="33" fillId="11" borderId="51" xfId="0" applyFont="1" applyFill="1" applyBorder="1" applyAlignment="1">
      <alignment horizontal="justify" vertical="center"/>
    </xf>
    <xf numFmtId="0" fontId="33" fillId="11" borderId="51" xfId="0" applyFont="1" applyFill="1" applyBorder="1" applyAlignment="1">
      <alignment horizontal="justify" vertical="center" wrapText="1"/>
    </xf>
    <xf numFmtId="167" fontId="33" fillId="11" borderId="51" xfId="0" applyNumberFormat="1" applyFont="1" applyFill="1" applyBorder="1" applyAlignment="1">
      <alignment horizontal="center" vertical="center" wrapText="1"/>
    </xf>
    <xf numFmtId="0" fontId="32" fillId="0" borderId="6" xfId="0" applyFont="1" applyBorder="1" applyAlignment="1">
      <alignment horizontal="justify" vertical="center" wrapText="1"/>
    </xf>
    <xf numFmtId="0" fontId="32" fillId="0" borderId="4" xfId="0" applyFont="1" applyBorder="1" applyAlignment="1">
      <alignment horizontal="justify" vertical="center"/>
    </xf>
    <xf numFmtId="0" fontId="32" fillId="0" borderId="25" xfId="0" applyFont="1" applyBorder="1" applyAlignment="1">
      <alignment horizontal="justify" vertical="center" wrapText="1"/>
    </xf>
    <xf numFmtId="167" fontId="32" fillId="0" borderId="4" xfId="0" applyNumberFormat="1" applyFont="1" applyBorder="1" applyAlignment="1">
      <alignment horizontal="center" vertical="center"/>
    </xf>
    <xf numFmtId="0" fontId="32" fillId="0" borderId="8" xfId="0" applyFont="1" applyBorder="1" applyAlignment="1">
      <alignment horizontal="justify" vertical="center" wrapText="1"/>
    </xf>
    <xf numFmtId="0" fontId="32" fillId="0" borderId="2" xfId="0" applyFont="1" applyBorder="1" applyAlignment="1">
      <alignment horizontal="justify" vertical="center"/>
    </xf>
    <xf numFmtId="0" fontId="32" fillId="0" borderId="27" xfId="0" applyFont="1" applyBorder="1" applyAlignment="1">
      <alignment horizontal="justify" vertical="center" wrapText="1"/>
    </xf>
    <xf numFmtId="167" fontId="32" fillId="0" borderId="2" xfId="0" applyNumberFormat="1" applyFont="1" applyBorder="1" applyAlignment="1">
      <alignment horizontal="center" vertical="center"/>
    </xf>
    <xf numFmtId="167" fontId="33" fillId="11" borderId="54" xfId="0" applyNumberFormat="1" applyFont="1" applyFill="1" applyBorder="1" applyAlignment="1">
      <alignment horizontal="center" vertical="center" wrapText="1"/>
    </xf>
    <xf numFmtId="0" fontId="32" fillId="0" borderId="0" xfId="0" applyFont="1" applyBorder="1" applyAlignment="1">
      <alignment horizontal="justify" vertical="center" wrapText="1"/>
    </xf>
    <xf numFmtId="0" fontId="32" fillId="0" borderId="0" xfId="0" applyFont="1" applyBorder="1" applyAlignment="1">
      <alignment horizontal="justify" vertical="center"/>
    </xf>
    <xf numFmtId="167" fontId="32" fillId="0" borderId="0" xfId="0" applyNumberFormat="1" applyFont="1" applyBorder="1" applyAlignment="1">
      <alignment horizontal="right" vertical="center"/>
    </xf>
    <xf numFmtId="0" fontId="33" fillId="11" borderId="56" xfId="0" applyFont="1" applyFill="1" applyBorder="1" applyAlignment="1">
      <alignment horizontal="justify" vertical="center" wrapText="1"/>
    </xf>
    <xf numFmtId="0" fontId="33" fillId="11" borderId="57" xfId="0" applyFont="1" applyFill="1" applyBorder="1" applyAlignment="1">
      <alignment horizontal="justify" vertical="center"/>
    </xf>
    <xf numFmtId="167" fontId="32" fillId="0" borderId="4" xfId="0" applyNumberFormat="1" applyFont="1" applyBorder="1" applyAlignment="1">
      <alignment horizontal="right" vertical="center"/>
    </xf>
    <xf numFmtId="0" fontId="32" fillId="0" borderId="44" xfId="0" applyFont="1" applyBorder="1" applyAlignment="1">
      <alignment horizontal="justify" vertical="center"/>
    </xf>
    <xf numFmtId="0" fontId="32" fillId="0" borderId="20" xfId="0" applyFont="1" applyBorder="1" applyAlignment="1">
      <alignment horizontal="justify" vertical="center" wrapText="1"/>
    </xf>
    <xf numFmtId="0" fontId="30" fillId="0" borderId="0" xfId="0" applyFont="1" applyFill="1" applyBorder="1" applyAlignment="1">
      <alignment vertical="center"/>
    </xf>
    <xf numFmtId="0" fontId="32" fillId="0" borderId="11" xfId="0" applyFont="1" applyBorder="1" applyAlignment="1">
      <alignment horizontal="justify" vertical="center" wrapText="1"/>
    </xf>
    <xf numFmtId="0" fontId="32" fillId="0" borderId="3" xfId="0" applyFont="1" applyBorder="1" applyAlignment="1">
      <alignment horizontal="justify" vertical="center"/>
    </xf>
    <xf numFmtId="0" fontId="35" fillId="0" borderId="25" xfId="0" applyFont="1" applyBorder="1" applyAlignment="1">
      <alignment horizontal="justify" vertical="center" wrapText="1"/>
    </xf>
    <xf numFmtId="0" fontId="35" fillId="0" borderId="6" xfId="0" applyFont="1" applyBorder="1" applyAlignment="1">
      <alignment horizontal="justify" vertical="center" wrapText="1"/>
    </xf>
    <xf numFmtId="0" fontId="32" fillId="0" borderId="4" xfId="0" applyFont="1" applyFill="1" applyBorder="1" applyAlignment="1">
      <alignment horizontal="justify" vertical="center"/>
    </xf>
    <xf numFmtId="0" fontId="32" fillId="0" borderId="58" xfId="0" applyFont="1" applyBorder="1" applyAlignment="1">
      <alignment horizontal="justify" vertical="center"/>
    </xf>
    <xf numFmtId="0" fontId="32" fillId="0" borderId="2" xfId="0" applyFont="1" applyFill="1" applyBorder="1" applyAlignment="1">
      <alignment horizontal="justify" vertical="center"/>
    </xf>
    <xf numFmtId="167" fontId="33" fillId="11" borderId="54" xfId="0" applyNumberFormat="1" applyFont="1" applyFill="1" applyBorder="1" applyAlignment="1">
      <alignment vertical="center" wrapText="1"/>
    </xf>
    <xf numFmtId="0" fontId="33" fillId="11" borderId="59" xfId="0" applyFont="1" applyFill="1" applyBorder="1" applyAlignment="1">
      <alignment horizontal="justify" vertical="center" wrapText="1"/>
    </xf>
    <xf numFmtId="0" fontId="33" fillId="11" borderId="60" xfId="0" applyFont="1" applyFill="1" applyBorder="1" applyAlignment="1">
      <alignment horizontal="justify" vertical="center" wrapText="1"/>
    </xf>
    <xf numFmtId="0" fontId="35" fillId="0" borderId="27" xfId="0" applyFont="1" applyBorder="1" applyAlignment="1">
      <alignment horizontal="justify" vertical="center" wrapText="1"/>
    </xf>
    <xf numFmtId="0" fontId="38" fillId="0" borderId="0" xfId="0" applyFont="1" applyAlignment="1">
      <alignment vertical="center" wrapText="1"/>
    </xf>
    <xf numFmtId="0" fontId="38" fillId="0" borderId="0" xfId="0" applyFont="1" applyAlignment="1">
      <alignment horizontal="right" vertical="center" wrapText="1"/>
    </xf>
    <xf numFmtId="167" fontId="33" fillId="11" borderId="50" xfId="0" applyNumberFormat="1" applyFont="1" applyFill="1" applyBorder="1" applyAlignment="1">
      <alignment horizontal="center" vertical="center" wrapText="1"/>
    </xf>
    <xf numFmtId="167" fontId="40" fillId="11" borderId="54" xfId="0" applyNumberFormat="1" applyFont="1" applyFill="1" applyBorder="1" applyAlignment="1">
      <alignment vertical="center" wrapText="1"/>
    </xf>
    <xf numFmtId="0" fontId="41" fillId="0" borderId="0" xfId="0" applyFont="1" applyFill="1" applyAlignment="1">
      <alignment vertical="center" wrapText="1"/>
    </xf>
    <xf numFmtId="167" fontId="30" fillId="0" borderId="4" xfId="0" applyNumberFormat="1" applyFont="1" applyFill="1" applyBorder="1" applyAlignment="1">
      <alignment horizontal="right" vertical="center" wrapText="1"/>
    </xf>
    <xf numFmtId="0" fontId="32" fillId="2" borderId="25" xfId="0" applyFont="1" applyFill="1" applyBorder="1" applyAlignment="1">
      <alignment horizontal="justify" vertical="center" wrapText="1"/>
    </xf>
    <xf numFmtId="0" fontId="30" fillId="0" borderId="25" xfId="0" applyFont="1" applyFill="1" applyBorder="1" applyAlignment="1">
      <alignment vertical="center"/>
    </xf>
    <xf numFmtId="0" fontId="32" fillId="2" borderId="25" xfId="0" applyFont="1" applyFill="1" applyBorder="1" applyAlignment="1">
      <alignment vertical="center" wrapText="1"/>
    </xf>
    <xf numFmtId="167" fontId="32" fillId="0" borderId="1" xfId="0" applyNumberFormat="1" applyFont="1" applyBorder="1" applyAlignment="1">
      <alignment horizontal="right" vertical="center"/>
    </xf>
    <xf numFmtId="0" fontId="32" fillId="0" borderId="25" xfId="0" applyFont="1" applyBorder="1" applyAlignment="1">
      <alignment vertical="center" wrapText="1"/>
    </xf>
    <xf numFmtId="167" fontId="32" fillId="0" borderId="2" xfId="0" applyNumberFormat="1" applyFont="1" applyBorder="1" applyAlignment="1">
      <alignment horizontal="right" vertical="center"/>
    </xf>
    <xf numFmtId="0" fontId="32" fillId="0" borderId="0" xfId="0" applyFont="1" applyAlignment="1">
      <alignment horizontal="justify" vertical="center" wrapText="1"/>
    </xf>
    <xf numFmtId="0" fontId="32" fillId="0" borderId="0" xfId="0" applyFont="1" applyAlignment="1">
      <alignment horizontal="justify" vertical="center"/>
    </xf>
    <xf numFmtId="167" fontId="32" fillId="0" borderId="0" xfId="0" applyNumberFormat="1" applyFont="1" applyAlignment="1">
      <alignment horizontal="right" vertical="center"/>
    </xf>
    <xf numFmtId="0" fontId="35" fillId="0" borderId="8" xfId="0" applyFont="1" applyBorder="1" applyAlignment="1">
      <alignment horizontal="justify" vertical="center" wrapText="1"/>
    </xf>
    <xf numFmtId="0" fontId="35" fillId="0" borderId="0" xfId="0" applyFont="1" applyBorder="1" applyAlignment="1">
      <alignment horizontal="justify" vertical="center" wrapText="1"/>
    </xf>
    <xf numFmtId="167" fontId="42" fillId="11" borderId="54" xfId="0" applyNumberFormat="1" applyFont="1" applyFill="1" applyBorder="1" applyAlignment="1">
      <alignment vertical="center" wrapText="1"/>
    </xf>
    <xf numFmtId="0" fontId="32" fillId="0" borderId="62" xfId="0" applyFont="1" applyBorder="1" applyAlignment="1">
      <alignment horizontal="justify" vertical="center" wrapText="1"/>
    </xf>
    <xf numFmtId="3" fontId="32" fillId="0" borderId="62" xfId="0" applyNumberFormat="1" applyFont="1" applyBorder="1" applyAlignment="1">
      <alignment horizontal="justify" vertical="center" wrapText="1"/>
    </xf>
    <xf numFmtId="167" fontId="32" fillId="13" borderId="4" xfId="0" applyNumberFormat="1" applyFont="1" applyFill="1" applyBorder="1" applyAlignment="1">
      <alignment horizontal="right" vertical="center"/>
    </xf>
    <xf numFmtId="9" fontId="19" fillId="14" borderId="4" xfId="5" applyFont="1" applyFill="1" applyBorder="1" applyAlignment="1">
      <alignment vertical="top"/>
    </xf>
    <xf numFmtId="0" fontId="4" fillId="0" borderId="0" xfId="0" applyFont="1"/>
    <xf numFmtId="0" fontId="4" fillId="0" borderId="9" xfId="0" applyFont="1" applyBorder="1" applyAlignment="1">
      <alignment vertical="top" wrapText="1"/>
    </xf>
    <xf numFmtId="0" fontId="4" fillId="0" borderId="30" xfId="0" applyFont="1" applyBorder="1" applyAlignment="1">
      <alignment vertical="top" wrapText="1"/>
    </xf>
    <xf numFmtId="0" fontId="0" fillId="0" borderId="64" xfId="0" applyBorder="1" applyAlignment="1">
      <alignment vertical="top" wrapText="1"/>
    </xf>
    <xf numFmtId="0" fontId="0" fillId="0" borderId="63" xfId="0" applyBorder="1" applyAlignment="1">
      <alignment vertical="top" wrapText="1"/>
    </xf>
    <xf numFmtId="0" fontId="44" fillId="0" borderId="9" xfId="0" applyFont="1" applyBorder="1" applyAlignment="1">
      <alignment vertical="top" wrapText="1"/>
    </xf>
    <xf numFmtId="0" fontId="44" fillId="0" borderId="30" xfId="0" applyFont="1" applyBorder="1" applyAlignment="1">
      <alignment vertical="top" wrapText="1"/>
    </xf>
    <xf numFmtId="0" fontId="44" fillId="0" borderId="14" xfId="0" applyFont="1" applyBorder="1" applyAlignment="1">
      <alignment vertical="top" wrapText="1"/>
    </xf>
    <xf numFmtId="0" fontId="44" fillId="0" borderId="63" xfId="0" applyFont="1" applyBorder="1" applyAlignment="1">
      <alignment vertical="top" wrapText="1"/>
    </xf>
    <xf numFmtId="3" fontId="44" fillId="0" borderId="63" xfId="0" applyNumberFormat="1" applyFont="1" applyBorder="1" applyAlignment="1">
      <alignment vertical="top" wrapText="1"/>
    </xf>
    <xf numFmtId="0" fontId="44" fillId="0" borderId="64" xfId="0" applyFont="1" applyBorder="1" applyAlignment="1">
      <alignment vertical="top" wrapText="1"/>
    </xf>
    <xf numFmtId="3" fontId="44" fillId="0" borderId="64" xfId="0" applyNumberFormat="1" applyFont="1" applyBorder="1" applyAlignment="1">
      <alignment vertical="top" wrapText="1"/>
    </xf>
    <xf numFmtId="0" fontId="45" fillId="0" borderId="63" xfId="0" applyFont="1" applyBorder="1" applyAlignment="1">
      <alignment vertical="top" wrapText="1"/>
    </xf>
    <xf numFmtId="3" fontId="44" fillId="13" borderId="64" xfId="0" applyNumberFormat="1" applyFont="1" applyFill="1" applyBorder="1" applyAlignment="1">
      <alignment vertical="top" wrapText="1"/>
    </xf>
    <xf numFmtId="3" fontId="44" fillId="13" borderId="63" xfId="0" applyNumberFormat="1" applyFont="1" applyFill="1" applyBorder="1" applyAlignment="1">
      <alignment vertical="top" wrapText="1"/>
    </xf>
    <xf numFmtId="166" fontId="25" fillId="17" borderId="4" xfId="4" applyNumberFormat="1" applyFont="1" applyFill="1" applyBorder="1" applyAlignment="1">
      <alignment horizontal="center" vertical="top" wrapText="1"/>
    </xf>
    <xf numFmtId="0" fontId="46" fillId="0" borderId="64" xfId="0" applyFont="1" applyBorder="1" applyAlignment="1">
      <alignment vertical="top" wrapText="1"/>
    </xf>
    <xf numFmtId="0" fontId="46" fillId="0" borderId="4" xfId="0" applyFont="1" applyBorder="1" applyAlignment="1">
      <alignment vertical="top" wrapText="1"/>
    </xf>
    <xf numFmtId="3" fontId="44" fillId="10" borderId="64" xfId="0" applyNumberFormat="1" applyFont="1" applyFill="1" applyBorder="1" applyAlignment="1">
      <alignment vertical="top" wrapText="1"/>
    </xf>
    <xf numFmtId="0" fontId="44" fillId="10" borderId="64" xfId="0" applyFont="1" applyFill="1" applyBorder="1" applyAlignment="1">
      <alignment vertical="top" wrapText="1"/>
    </xf>
    <xf numFmtId="0" fontId="46" fillId="18" borderId="4" xfId="0" applyFont="1" applyFill="1" applyBorder="1" applyAlignment="1">
      <alignment vertical="top" wrapText="1"/>
    </xf>
    <xf numFmtId="166" fontId="19" fillId="0" borderId="0" xfId="4" applyNumberFormat="1" applyFont="1" applyAlignment="1">
      <alignment horizontal="left"/>
    </xf>
    <xf numFmtId="166" fontId="20" fillId="14" borderId="4" xfId="4" applyNumberFormat="1" applyFont="1" applyFill="1" applyBorder="1" applyAlignment="1">
      <alignment horizontal="left" vertical="center"/>
    </xf>
    <xf numFmtId="166" fontId="20" fillId="14" borderId="4" xfId="4" applyNumberFormat="1" applyFont="1" applyFill="1" applyBorder="1" applyAlignment="1">
      <alignment horizontal="left" wrapText="1"/>
    </xf>
    <xf numFmtId="0" fontId="19" fillId="19" borderId="0" xfId="0" applyFont="1" applyFill="1" applyAlignment="1">
      <alignment horizontal="center" vertical="center"/>
    </xf>
    <xf numFmtId="166" fontId="19" fillId="2" borderId="4" xfId="4" applyNumberFormat="1" applyFont="1" applyFill="1" applyBorder="1" applyAlignment="1">
      <alignment horizontal="left" vertical="top"/>
    </xf>
    <xf numFmtId="166" fontId="19" fillId="2" borderId="4" xfId="4" applyNumberFormat="1" applyFont="1" applyFill="1" applyBorder="1" applyAlignment="1">
      <alignment horizontal="left"/>
    </xf>
    <xf numFmtId="166" fontId="19" fillId="2" borderId="4" xfId="4" applyNumberFormat="1" applyFont="1" applyFill="1" applyBorder="1" applyAlignment="1">
      <alignment horizontal="left" vertical="top" wrapText="1"/>
    </xf>
    <xf numFmtId="166" fontId="19" fillId="0" borderId="4" xfId="4" applyNumberFormat="1" applyFont="1" applyBorder="1" applyAlignment="1">
      <alignment horizontal="left" vertical="top"/>
    </xf>
    <xf numFmtId="166" fontId="19" fillId="14" borderId="4" xfId="4" applyNumberFormat="1" applyFont="1" applyFill="1" applyBorder="1" applyAlignment="1">
      <alignment horizontal="left" wrapText="1"/>
    </xf>
    <xf numFmtId="166" fontId="20" fillId="14" borderId="4" xfId="4" applyNumberFormat="1" applyFont="1" applyFill="1" applyBorder="1" applyAlignment="1">
      <alignment horizontal="left" vertical="center" wrapText="1"/>
    </xf>
    <xf numFmtId="166" fontId="20" fillId="14" borderId="4" xfId="4" applyNumberFormat="1" applyFont="1" applyFill="1" applyBorder="1" applyAlignment="1">
      <alignment horizontal="left"/>
    </xf>
    <xf numFmtId="166" fontId="19" fillId="14" borderId="4" xfId="4" applyNumberFormat="1" applyFont="1" applyFill="1" applyBorder="1" applyAlignment="1">
      <alignment horizontal="left" vertical="center" wrapText="1"/>
    </xf>
    <xf numFmtId="166" fontId="19" fillId="14" borderId="4" xfId="4" applyNumberFormat="1" applyFont="1" applyFill="1" applyBorder="1" applyAlignment="1">
      <alignment horizontal="left"/>
    </xf>
    <xf numFmtId="166" fontId="19" fillId="9" borderId="4" xfId="4" applyNumberFormat="1" applyFont="1" applyFill="1" applyBorder="1" applyAlignment="1">
      <alignment vertical="top"/>
    </xf>
    <xf numFmtId="166" fontId="18" fillId="11" borderId="4" xfId="4" applyNumberFormat="1" applyFont="1" applyFill="1" applyBorder="1" applyAlignment="1">
      <alignment horizontal="left"/>
    </xf>
    <xf numFmtId="43" fontId="19" fillId="0" borderId="4" xfId="4" applyFont="1" applyBorder="1" applyAlignment="1">
      <alignment vertical="center"/>
    </xf>
    <xf numFmtId="165" fontId="19" fillId="0" borderId="0" xfId="0" applyNumberFormat="1" applyFont="1"/>
    <xf numFmtId="9" fontId="20" fillId="14" borderId="4" xfId="0" applyNumberFormat="1" applyFont="1" applyFill="1" applyBorder="1" applyAlignment="1">
      <alignment horizontal="left"/>
    </xf>
    <xf numFmtId="165" fontId="17" fillId="10" borderId="28" xfId="0" applyNumberFormat="1" applyFont="1" applyFill="1" applyBorder="1" applyAlignment="1">
      <alignment horizontal="center"/>
    </xf>
    <xf numFmtId="165" fontId="17" fillId="10" borderId="29" xfId="0" applyNumberFormat="1" applyFont="1" applyFill="1" applyBorder="1" applyAlignment="1">
      <alignment horizontal="center"/>
    </xf>
    <xf numFmtId="165" fontId="17" fillId="10" borderId="30" xfId="0" applyNumberFormat="1" applyFont="1" applyFill="1" applyBorder="1" applyAlignment="1">
      <alignment horizontal="center"/>
    </xf>
    <xf numFmtId="0" fontId="0" fillId="2" borderId="20" xfId="0" applyFont="1" applyFill="1" applyBorder="1" applyAlignment="1">
      <alignment horizontal="center" vertical="center"/>
    </xf>
    <xf numFmtId="0" fontId="0" fillId="2" borderId="6" xfId="0" applyFont="1" applyFill="1" applyBorder="1" applyAlignment="1">
      <alignment horizontal="center" vertical="center"/>
    </xf>
    <xf numFmtId="0" fontId="0" fillId="2" borderId="8" xfId="0" applyFont="1" applyFill="1" applyBorder="1" applyAlignment="1">
      <alignment horizontal="center" vertical="center"/>
    </xf>
    <xf numFmtId="0" fontId="4" fillId="2" borderId="17"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9" fillId="4" borderId="1" xfId="0" applyFont="1" applyFill="1" applyBorder="1" applyAlignment="1">
      <alignment horizontal="center" vertical="center" wrapText="1"/>
    </xf>
    <xf numFmtId="0" fontId="9" fillId="4" borderId="17" xfId="0" applyFont="1" applyFill="1" applyBorder="1" applyAlignment="1">
      <alignment horizontal="center" vertical="center" wrapText="1"/>
    </xf>
    <xf numFmtId="0" fontId="9" fillId="4" borderId="4" xfId="0" applyFont="1" applyFill="1" applyBorder="1" applyAlignment="1">
      <alignment horizontal="center" vertical="center" wrapText="1"/>
    </xf>
    <xf numFmtId="0" fontId="9" fillId="4" borderId="2" xfId="0" applyFont="1" applyFill="1" applyBorder="1" applyAlignment="1">
      <alignment horizontal="center" vertical="center" wrapText="1"/>
    </xf>
    <xf numFmtId="0" fontId="12" fillId="3" borderId="32" xfId="0" applyFont="1" applyFill="1" applyBorder="1" applyAlignment="1">
      <alignment horizontal="center" vertical="center" wrapText="1"/>
    </xf>
    <xf numFmtId="0" fontId="12" fillId="3" borderId="33" xfId="0" applyFont="1" applyFill="1" applyBorder="1" applyAlignment="1">
      <alignment horizontal="center" vertical="center" wrapText="1"/>
    </xf>
    <xf numFmtId="0" fontId="0" fillId="4" borderId="7" xfId="0" applyFont="1" applyFill="1" applyBorder="1" applyAlignment="1">
      <alignment horizontal="center" vertical="center"/>
    </xf>
    <xf numFmtId="0" fontId="0" fillId="4" borderId="6" xfId="0" applyFont="1" applyFill="1" applyBorder="1" applyAlignment="1">
      <alignment horizontal="center" vertical="center"/>
    </xf>
    <xf numFmtId="0" fontId="0" fillId="4" borderId="8" xfId="0" applyFont="1" applyFill="1" applyBorder="1" applyAlignment="1">
      <alignment horizontal="center" vertical="center"/>
    </xf>
    <xf numFmtId="0" fontId="4" fillId="4" borderId="1" xfId="0" applyFont="1" applyFill="1" applyBorder="1" applyAlignment="1">
      <alignment horizontal="center" vertical="center" wrapText="1"/>
    </xf>
    <xf numFmtId="0" fontId="4" fillId="4" borderId="4" xfId="0" applyFont="1" applyFill="1" applyBorder="1" applyAlignment="1">
      <alignment horizontal="center" vertical="center" wrapText="1"/>
    </xf>
    <xf numFmtId="0" fontId="4" fillId="4" borderId="2" xfId="0" applyFont="1" applyFill="1" applyBorder="1" applyAlignment="1">
      <alignment horizontal="center" vertical="center" wrapText="1"/>
    </xf>
    <xf numFmtId="0" fontId="0" fillId="2" borderId="7" xfId="0" applyFont="1" applyFill="1" applyBorder="1" applyAlignment="1">
      <alignment horizontal="center" vertical="center"/>
    </xf>
    <xf numFmtId="0" fontId="4" fillId="2" borderId="1" xfId="0" applyFont="1" applyFill="1" applyBorder="1" applyAlignment="1">
      <alignment horizontal="center" vertical="center" wrapText="1"/>
    </xf>
    <xf numFmtId="165" fontId="8" fillId="2" borderId="28" xfId="0" applyNumberFormat="1" applyFont="1" applyFill="1" applyBorder="1" applyAlignment="1">
      <alignment horizontal="center"/>
    </xf>
    <xf numFmtId="165" fontId="8" fillId="2" borderId="29" xfId="0" applyNumberFormat="1" applyFont="1" applyFill="1" applyBorder="1" applyAlignment="1">
      <alignment horizontal="center"/>
    </xf>
    <xf numFmtId="165" fontId="8" fillId="2" borderId="30" xfId="0" applyNumberFormat="1" applyFont="1" applyFill="1" applyBorder="1" applyAlignment="1">
      <alignment horizontal="center"/>
    </xf>
    <xf numFmtId="2" fontId="12" fillId="6" borderId="16" xfId="0" applyNumberFormat="1" applyFont="1" applyFill="1" applyBorder="1" applyAlignment="1">
      <alignment horizontal="center" vertical="center" wrapText="1"/>
    </xf>
    <xf numFmtId="2" fontId="12" fillId="6" borderId="34" xfId="0" applyNumberFormat="1" applyFont="1" applyFill="1" applyBorder="1" applyAlignment="1">
      <alignment horizontal="center" vertical="center" wrapText="1"/>
    </xf>
    <xf numFmtId="2" fontId="12" fillId="6" borderId="36" xfId="0" applyNumberFormat="1" applyFont="1" applyFill="1" applyBorder="1" applyAlignment="1">
      <alignment horizontal="center" vertical="center" wrapText="1"/>
    </xf>
    <xf numFmtId="1" fontId="0" fillId="4" borderId="7" xfId="0" applyNumberFormat="1" applyFont="1" applyFill="1" applyBorder="1" applyAlignment="1">
      <alignment horizontal="center" vertical="center" wrapText="1"/>
    </xf>
    <xf numFmtId="1" fontId="0" fillId="4" borderId="6" xfId="0" applyNumberFormat="1" applyFont="1" applyFill="1" applyBorder="1" applyAlignment="1">
      <alignment horizontal="center" vertical="center" wrapText="1"/>
    </xf>
    <xf numFmtId="1" fontId="0" fillId="4" borderId="8" xfId="0" applyNumberFormat="1"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9" fillId="4" borderId="31" xfId="0" applyFont="1" applyFill="1" applyBorder="1" applyAlignment="1">
      <alignment horizontal="center" vertical="center" wrapText="1"/>
    </xf>
    <xf numFmtId="0" fontId="9" fillId="4" borderId="16" xfId="0" applyFont="1" applyFill="1" applyBorder="1" applyAlignment="1">
      <alignment horizontal="center" vertical="center" wrapText="1"/>
    </xf>
    <xf numFmtId="0" fontId="9" fillId="4" borderId="15" xfId="0" applyFont="1" applyFill="1" applyBorder="1" applyAlignment="1">
      <alignment horizontal="center" vertical="center" wrapText="1"/>
    </xf>
    <xf numFmtId="2" fontId="12" fillId="6" borderId="17" xfId="0" applyNumberFormat="1" applyFont="1" applyFill="1" applyBorder="1" applyAlignment="1">
      <alignment horizontal="center" vertical="center" wrapText="1"/>
    </xf>
    <xf numFmtId="2" fontId="12" fillId="6" borderId="3" xfId="0" applyNumberFormat="1" applyFont="1" applyFill="1" applyBorder="1" applyAlignment="1">
      <alignment horizontal="center" vertical="center" wrapText="1"/>
    </xf>
    <xf numFmtId="2" fontId="12" fillId="7" borderId="16" xfId="0" applyNumberFormat="1" applyFont="1" applyFill="1" applyBorder="1" applyAlignment="1">
      <alignment horizontal="center" vertical="center" wrapText="1"/>
    </xf>
    <xf numFmtId="2" fontId="12" fillId="7" borderId="15" xfId="0" applyNumberFormat="1" applyFont="1" applyFill="1" applyBorder="1" applyAlignment="1">
      <alignment horizontal="center" vertical="center" wrapText="1"/>
    </xf>
    <xf numFmtId="2" fontId="12" fillId="6" borderId="20" xfId="0" applyNumberFormat="1" applyFont="1" applyFill="1" applyBorder="1" applyAlignment="1">
      <alignment horizontal="center" vertical="center" wrapText="1"/>
    </xf>
    <xf numFmtId="2" fontId="12" fillId="6" borderId="11" xfId="0" applyNumberFormat="1" applyFont="1" applyFill="1" applyBorder="1" applyAlignment="1">
      <alignment horizontal="center" vertical="center" wrapText="1"/>
    </xf>
    <xf numFmtId="0" fontId="12" fillId="3" borderId="24" xfId="0" applyFont="1" applyFill="1" applyBorder="1" applyAlignment="1">
      <alignment horizontal="center" vertical="center" wrapText="1"/>
    </xf>
    <xf numFmtId="0" fontId="12" fillId="3" borderId="27" xfId="0" applyFont="1" applyFill="1" applyBorder="1" applyAlignment="1">
      <alignment horizontal="center" vertical="center" wrapText="1"/>
    </xf>
    <xf numFmtId="2" fontId="12" fillId="7" borderId="34" xfId="0" applyNumberFormat="1" applyFont="1" applyFill="1" applyBorder="1" applyAlignment="1">
      <alignment horizontal="center" vertical="center" wrapText="1"/>
    </xf>
    <xf numFmtId="2" fontId="12" fillId="7" borderId="33" xfId="0" applyNumberFormat="1" applyFont="1" applyFill="1" applyBorder="1" applyAlignment="1">
      <alignment horizontal="center" vertical="center" wrapText="1"/>
    </xf>
    <xf numFmtId="2" fontId="12" fillId="7" borderId="17" xfId="0" applyNumberFormat="1" applyFont="1" applyFill="1" applyBorder="1" applyAlignment="1">
      <alignment horizontal="center" vertical="center" wrapText="1"/>
    </xf>
    <xf numFmtId="2" fontId="12" fillId="7" borderId="2" xfId="0" applyNumberFormat="1" applyFont="1" applyFill="1" applyBorder="1" applyAlignment="1">
      <alignment horizontal="center" vertical="center" wrapText="1"/>
    </xf>
    <xf numFmtId="2" fontId="12" fillId="7" borderId="20" xfId="0" applyNumberFormat="1" applyFont="1" applyFill="1" applyBorder="1" applyAlignment="1">
      <alignment horizontal="center" vertical="center" wrapText="1"/>
    </xf>
    <xf numFmtId="2" fontId="12" fillId="7" borderId="8" xfId="0" applyNumberFormat="1" applyFont="1" applyFill="1" applyBorder="1" applyAlignment="1">
      <alignment horizontal="center" vertical="center" wrapText="1"/>
    </xf>
    <xf numFmtId="0" fontId="0" fillId="4" borderId="5" xfId="0" applyFont="1" applyFill="1" applyBorder="1" applyAlignment="1">
      <alignment horizontal="center" vertical="center" wrapText="1"/>
    </xf>
    <xf numFmtId="0" fontId="0" fillId="4" borderId="10" xfId="0" applyFont="1" applyFill="1" applyBorder="1" applyAlignment="1">
      <alignment horizontal="center" vertical="center" wrapText="1"/>
    </xf>
    <xf numFmtId="0" fontId="0" fillId="4" borderId="23" xfId="0" applyFont="1" applyFill="1" applyBorder="1" applyAlignment="1">
      <alignment horizontal="center" vertical="center" wrapText="1"/>
    </xf>
    <xf numFmtId="165" fontId="0" fillId="4" borderId="12" xfId="0" applyNumberFormat="1" applyFont="1" applyFill="1" applyBorder="1" applyAlignment="1">
      <alignment horizontal="center" vertical="center"/>
    </xf>
    <xf numFmtId="0" fontId="0" fillId="4" borderId="13" xfId="0" applyFont="1" applyFill="1" applyBorder="1" applyAlignment="1">
      <alignment horizontal="center" vertical="center"/>
    </xf>
    <xf numFmtId="0" fontId="0" fillId="4" borderId="14" xfId="0" applyFont="1" applyFill="1" applyBorder="1" applyAlignment="1">
      <alignment horizontal="center" vertical="center"/>
    </xf>
    <xf numFmtId="166" fontId="0" fillId="4" borderId="12" xfId="4" applyNumberFormat="1" applyFont="1" applyFill="1" applyBorder="1" applyAlignment="1">
      <alignment horizontal="center" vertical="center"/>
    </xf>
    <xf numFmtId="166" fontId="0" fillId="4" borderId="13" xfId="4" applyNumberFormat="1" applyFont="1" applyFill="1" applyBorder="1" applyAlignment="1">
      <alignment horizontal="center" vertical="center"/>
    </xf>
    <xf numFmtId="166" fontId="0" fillId="4" borderId="14" xfId="4" applyNumberFormat="1" applyFont="1" applyFill="1" applyBorder="1" applyAlignment="1">
      <alignment horizontal="center" vertical="center"/>
    </xf>
    <xf numFmtId="165" fontId="11" fillId="4" borderId="28" xfId="3" applyNumberFormat="1" applyFont="1" applyFill="1" applyBorder="1" applyAlignment="1">
      <alignment horizontal="center"/>
    </xf>
    <xf numFmtId="165" fontId="11" fillId="4" borderId="29" xfId="3" applyNumberFormat="1" applyFont="1" applyFill="1" applyBorder="1" applyAlignment="1">
      <alignment horizontal="center"/>
    </xf>
    <xf numFmtId="165" fontId="11" fillId="4" borderId="18" xfId="3" applyNumberFormat="1" applyFont="1" applyFill="1" applyBorder="1" applyAlignment="1">
      <alignment horizontal="center"/>
    </xf>
    <xf numFmtId="165" fontId="11" fillId="4" borderId="19" xfId="3" applyNumberFormat="1" applyFont="1" applyFill="1" applyBorder="1" applyAlignment="1">
      <alignment horizontal="center"/>
    </xf>
    <xf numFmtId="0" fontId="12" fillId="8" borderId="37" xfId="0" applyFont="1" applyFill="1" applyBorder="1" applyAlignment="1">
      <alignment horizontal="center" vertical="center" wrapText="1"/>
    </xf>
    <xf numFmtId="0" fontId="12" fillId="8" borderId="38" xfId="0" applyFont="1" applyFill="1" applyBorder="1" applyAlignment="1">
      <alignment horizontal="center" vertical="center" wrapText="1"/>
    </xf>
    <xf numFmtId="0" fontId="12" fillId="8" borderId="40" xfId="0" applyFont="1" applyFill="1" applyBorder="1" applyAlignment="1">
      <alignment horizontal="center" vertical="center" wrapText="1"/>
    </xf>
    <xf numFmtId="165" fontId="0" fillId="4" borderId="12" xfId="0" applyNumberFormat="1" applyFont="1" applyFill="1" applyBorder="1" applyAlignment="1">
      <alignment horizontal="center" vertical="center" wrapText="1"/>
    </xf>
    <xf numFmtId="0" fontId="0" fillId="4" borderId="13" xfId="0" applyFont="1" applyFill="1" applyBorder="1" applyAlignment="1">
      <alignment horizontal="center" vertical="center" wrapText="1"/>
    </xf>
    <xf numFmtId="0" fontId="0" fillId="4" borderId="14" xfId="0" applyFont="1" applyFill="1" applyBorder="1" applyAlignment="1">
      <alignment horizontal="center" vertical="center" wrapText="1"/>
    </xf>
    <xf numFmtId="165" fontId="0" fillId="2" borderId="12" xfId="0" applyNumberFormat="1" applyFont="1" applyFill="1" applyBorder="1" applyAlignment="1">
      <alignment horizontal="center" vertical="center" wrapText="1"/>
    </xf>
    <xf numFmtId="0" fontId="0" fillId="2" borderId="13" xfId="0" applyFont="1" applyFill="1" applyBorder="1" applyAlignment="1">
      <alignment horizontal="center" vertical="center" wrapText="1"/>
    </xf>
    <xf numFmtId="0" fontId="0" fillId="2" borderId="14" xfId="0" applyFont="1" applyFill="1" applyBorder="1" applyAlignment="1">
      <alignment horizontal="center" vertical="center" wrapText="1"/>
    </xf>
    <xf numFmtId="166" fontId="12" fillId="8" borderId="37" xfId="4" applyNumberFormat="1" applyFont="1" applyFill="1" applyBorder="1" applyAlignment="1">
      <alignment horizontal="center" vertical="center" wrapText="1"/>
    </xf>
    <xf numFmtId="166" fontId="12" fillId="8" borderId="38" xfId="4" applyNumberFormat="1" applyFont="1" applyFill="1" applyBorder="1" applyAlignment="1">
      <alignment horizontal="center" vertical="center" wrapText="1"/>
    </xf>
    <xf numFmtId="166" fontId="12" fillId="8" borderId="40" xfId="4" applyNumberFormat="1" applyFont="1" applyFill="1" applyBorder="1" applyAlignment="1">
      <alignment horizontal="center" vertical="center" wrapText="1"/>
    </xf>
    <xf numFmtId="166" fontId="0" fillId="4" borderId="12" xfId="4" applyNumberFormat="1" applyFont="1" applyFill="1" applyBorder="1" applyAlignment="1">
      <alignment horizontal="center" vertical="center" wrapText="1"/>
    </xf>
    <xf numFmtId="166" fontId="0" fillId="4" borderId="13" xfId="4" applyNumberFormat="1" applyFont="1" applyFill="1" applyBorder="1" applyAlignment="1">
      <alignment horizontal="center" vertical="center" wrapText="1"/>
    </xf>
    <xf numFmtId="166" fontId="0" fillId="4" borderId="14" xfId="4" applyNumberFormat="1" applyFont="1" applyFill="1" applyBorder="1" applyAlignment="1">
      <alignment horizontal="center" vertical="center" wrapText="1"/>
    </xf>
    <xf numFmtId="166" fontId="0" fillId="2" borderId="12" xfId="4" applyNumberFormat="1" applyFont="1" applyFill="1" applyBorder="1" applyAlignment="1">
      <alignment horizontal="center" vertical="center" wrapText="1"/>
    </xf>
    <xf numFmtId="166" fontId="0" fillId="2" borderId="13" xfId="4" applyNumberFormat="1" applyFont="1" applyFill="1" applyBorder="1" applyAlignment="1">
      <alignment horizontal="center" vertical="center" wrapText="1"/>
    </xf>
    <xf numFmtId="166" fontId="0" fillId="2" borderId="14" xfId="4" applyNumberFormat="1" applyFont="1" applyFill="1" applyBorder="1" applyAlignment="1">
      <alignment horizontal="center" vertical="center" wrapText="1"/>
    </xf>
    <xf numFmtId="165" fontId="0" fillId="2" borderId="13" xfId="0" applyNumberFormat="1" applyFont="1" applyFill="1" applyBorder="1" applyAlignment="1">
      <alignment horizontal="center" vertical="center" wrapText="1"/>
    </xf>
    <xf numFmtId="0" fontId="13" fillId="2" borderId="0" xfId="0" applyFont="1" applyFill="1" applyAlignment="1">
      <alignment horizontal="center" wrapText="1"/>
    </xf>
    <xf numFmtId="165" fontId="16" fillId="5" borderId="28" xfId="3" applyNumberFormat="1" applyFont="1" applyFill="1" applyBorder="1" applyAlignment="1">
      <alignment horizontal="center"/>
    </xf>
    <xf numFmtId="165" fontId="16" fillId="5" borderId="29" xfId="3" applyNumberFormat="1" applyFont="1" applyFill="1" applyBorder="1" applyAlignment="1">
      <alignment horizontal="center"/>
    </xf>
    <xf numFmtId="2" fontId="12" fillId="5" borderId="20" xfId="0" applyNumberFormat="1" applyFont="1" applyFill="1" applyBorder="1" applyAlignment="1">
      <alignment horizontal="center" vertical="center" wrapText="1"/>
    </xf>
    <xf numFmtId="2" fontId="12" fillId="5" borderId="11" xfId="0" applyNumberFormat="1" applyFont="1" applyFill="1" applyBorder="1" applyAlignment="1">
      <alignment horizontal="center" vertical="center" wrapText="1"/>
    </xf>
    <xf numFmtId="2" fontId="12" fillId="5" borderId="17" xfId="0" applyNumberFormat="1" applyFont="1" applyFill="1" applyBorder="1" applyAlignment="1">
      <alignment horizontal="center" vertical="center" wrapText="1"/>
    </xf>
    <xf numFmtId="2" fontId="12" fillId="5" borderId="3" xfId="0" applyNumberFormat="1" applyFont="1" applyFill="1" applyBorder="1" applyAlignment="1">
      <alignment horizontal="center" vertical="center" wrapText="1"/>
    </xf>
    <xf numFmtId="2" fontId="12" fillId="5" borderId="16" xfId="0" applyNumberFormat="1" applyFont="1" applyFill="1" applyBorder="1" applyAlignment="1">
      <alignment horizontal="center" vertical="center" wrapText="1"/>
    </xf>
    <xf numFmtId="2" fontId="12" fillId="5" borderId="26" xfId="0" applyNumberFormat="1" applyFont="1" applyFill="1" applyBorder="1" applyAlignment="1">
      <alignment horizontal="center" vertical="center" wrapText="1"/>
    </xf>
    <xf numFmtId="2" fontId="12" fillId="5" borderId="35" xfId="0" applyNumberFormat="1" applyFont="1" applyFill="1" applyBorder="1" applyAlignment="1">
      <alignment horizontal="center" vertical="center" wrapText="1"/>
    </xf>
    <xf numFmtId="165" fontId="16" fillId="7" borderId="28" xfId="3" applyNumberFormat="1" applyFont="1" applyFill="1" applyBorder="1" applyAlignment="1">
      <alignment horizontal="center"/>
    </xf>
    <xf numFmtId="165" fontId="16" fillId="7" borderId="29" xfId="3" applyNumberFormat="1" applyFont="1" applyFill="1" applyBorder="1" applyAlignment="1">
      <alignment horizontal="center"/>
    </xf>
    <xf numFmtId="165" fontId="16" fillId="7" borderId="30" xfId="3" applyNumberFormat="1" applyFont="1" applyFill="1" applyBorder="1" applyAlignment="1">
      <alignment horizontal="center"/>
    </xf>
    <xf numFmtId="165" fontId="16" fillId="6" borderId="28" xfId="3" applyNumberFormat="1" applyFont="1" applyFill="1" applyBorder="1" applyAlignment="1">
      <alignment horizontal="center"/>
    </xf>
    <xf numFmtId="165" fontId="16" fillId="6" borderId="29" xfId="3" applyNumberFormat="1" applyFont="1" applyFill="1" applyBorder="1" applyAlignment="1">
      <alignment horizontal="center"/>
    </xf>
    <xf numFmtId="165" fontId="16" fillId="6" borderId="30" xfId="3" applyNumberFormat="1" applyFont="1" applyFill="1" applyBorder="1" applyAlignment="1">
      <alignment horizontal="center"/>
    </xf>
    <xf numFmtId="0" fontId="20" fillId="14" borderId="4" xfId="0" applyFont="1" applyFill="1" applyBorder="1" applyAlignment="1">
      <alignment horizontal="center" vertical="center" wrapText="1"/>
    </xf>
    <xf numFmtId="0" fontId="20" fillId="14" borderId="25" xfId="0" applyFont="1" applyFill="1" applyBorder="1" applyAlignment="1">
      <alignment horizontal="left" vertical="top" wrapText="1"/>
    </xf>
    <xf numFmtId="0" fontId="20" fillId="14" borderId="46" xfId="0" applyFont="1" applyFill="1" applyBorder="1" applyAlignment="1">
      <alignment horizontal="left" vertical="top" wrapText="1"/>
    </xf>
    <xf numFmtId="0" fontId="20" fillId="14" borderId="44" xfId="0" applyFont="1" applyFill="1" applyBorder="1" applyAlignment="1">
      <alignment horizontal="left" vertical="top" wrapText="1"/>
    </xf>
    <xf numFmtId="0" fontId="18" fillId="11" borderId="41" xfId="0" applyFont="1" applyFill="1" applyBorder="1" applyAlignment="1">
      <alignment horizontal="center" vertical="center" wrapText="1"/>
    </xf>
    <xf numFmtId="0" fontId="18" fillId="11" borderId="0" xfId="0" applyFont="1" applyFill="1" applyBorder="1" applyAlignment="1">
      <alignment horizontal="center" vertical="center" wrapText="1"/>
    </xf>
    <xf numFmtId="0" fontId="18" fillId="11" borderId="4" xfId="0" applyFont="1" applyFill="1" applyBorder="1" applyAlignment="1">
      <alignment horizontal="center" vertical="center" wrapText="1"/>
    </xf>
    <xf numFmtId="0" fontId="18" fillId="11" borderId="25" xfId="0" applyFont="1" applyFill="1" applyBorder="1" applyAlignment="1">
      <alignment horizontal="center" vertical="center" wrapText="1"/>
    </xf>
    <xf numFmtId="0" fontId="18" fillId="11" borderId="44" xfId="0" applyFont="1" applyFill="1" applyBorder="1" applyAlignment="1">
      <alignment horizontal="center" vertical="center" wrapText="1"/>
    </xf>
    <xf numFmtId="0" fontId="19" fillId="2" borderId="36" xfId="0" applyFont="1" applyFill="1" applyBorder="1" applyAlignment="1">
      <alignment horizontal="right" vertical="top"/>
    </xf>
    <xf numFmtId="0" fontId="19" fillId="2" borderId="45" xfId="0" applyFont="1" applyFill="1" applyBorder="1" applyAlignment="1">
      <alignment horizontal="right" vertical="top"/>
    </xf>
    <xf numFmtId="0" fontId="19" fillId="2" borderId="34" xfId="0" applyFont="1" applyFill="1" applyBorder="1" applyAlignment="1">
      <alignment horizontal="right" vertical="top"/>
    </xf>
    <xf numFmtId="0" fontId="19" fillId="0" borderId="6" xfId="0" applyFont="1" applyBorder="1" applyAlignment="1">
      <alignment horizontal="justify" vertical="center" wrapText="1"/>
    </xf>
    <xf numFmtId="0" fontId="21" fillId="11" borderId="25" xfId="0" applyFont="1" applyFill="1" applyBorder="1" applyAlignment="1">
      <alignment horizontal="left" vertical="top" wrapText="1"/>
    </xf>
    <xf numFmtId="0" fontId="21" fillId="11" borderId="46" xfId="0" applyFont="1" applyFill="1" applyBorder="1" applyAlignment="1">
      <alignment horizontal="left" vertical="top" wrapText="1"/>
    </xf>
    <xf numFmtId="0" fontId="21" fillId="11" borderId="44" xfId="0" applyFont="1" applyFill="1" applyBorder="1" applyAlignment="1">
      <alignment horizontal="left" vertical="top" wrapText="1"/>
    </xf>
    <xf numFmtId="0" fontId="19" fillId="0" borderId="0" xfId="0" applyFont="1" applyAlignment="1">
      <alignment horizontal="center" vertical="center" wrapText="1"/>
    </xf>
    <xf numFmtId="166" fontId="18" fillId="11" borderId="41" xfId="4" applyNumberFormat="1" applyFont="1" applyFill="1" applyBorder="1" applyAlignment="1">
      <alignment horizontal="center" vertical="center" wrapText="1"/>
    </xf>
    <xf numFmtId="0" fontId="19" fillId="0" borderId="6" xfId="0" applyFont="1" applyBorder="1" applyAlignment="1">
      <alignment vertical="center"/>
    </xf>
    <xf numFmtId="0" fontId="24" fillId="0" borderId="0" xfId="0" applyFont="1" applyAlignment="1">
      <alignment horizontal="center"/>
    </xf>
    <xf numFmtId="0" fontId="32" fillId="0" borderId="11" xfId="0" applyFont="1" applyBorder="1" applyAlignment="1">
      <alignment horizontal="justify" vertical="center" wrapText="1"/>
    </xf>
    <xf numFmtId="0" fontId="32" fillId="0" borderId="10" xfId="0" applyFont="1" applyBorder="1" applyAlignment="1">
      <alignment horizontal="justify" vertical="center" wrapText="1"/>
    </xf>
    <xf numFmtId="0" fontId="32" fillId="0" borderId="20" xfId="0" applyFont="1" applyBorder="1" applyAlignment="1">
      <alignment horizontal="justify" vertical="center" wrapText="1"/>
    </xf>
    <xf numFmtId="0" fontId="29" fillId="0" borderId="0" xfId="0" applyFont="1" applyBorder="1" applyAlignment="1">
      <alignment horizontal="right" vertical="center"/>
    </xf>
    <xf numFmtId="0" fontId="31" fillId="0" borderId="0" xfId="0" applyFont="1" applyAlignment="1">
      <alignment horizontal="center" vertical="center" wrapText="1"/>
    </xf>
    <xf numFmtId="0" fontId="33" fillId="11" borderId="48" xfId="0" applyFont="1" applyFill="1" applyBorder="1" applyAlignment="1">
      <alignment horizontal="center" vertical="center" wrapText="1"/>
    </xf>
    <xf numFmtId="0" fontId="33" fillId="11" borderId="49" xfId="0" applyFont="1" applyFill="1" applyBorder="1" applyAlignment="1">
      <alignment horizontal="center" vertical="center" wrapText="1"/>
    </xf>
    <xf numFmtId="0" fontId="33" fillId="11" borderId="52" xfId="0" applyFont="1" applyFill="1" applyBorder="1" applyAlignment="1">
      <alignment horizontal="right" vertical="center" wrapText="1"/>
    </xf>
    <xf numFmtId="0" fontId="33" fillId="11" borderId="53" xfId="0" applyFont="1" applyFill="1" applyBorder="1" applyAlignment="1">
      <alignment horizontal="right" vertical="center" wrapText="1"/>
    </xf>
    <xf numFmtId="0" fontId="33" fillId="11" borderId="55" xfId="0" applyFont="1" applyFill="1" applyBorder="1" applyAlignment="1">
      <alignment horizontal="center" vertical="center" wrapText="1"/>
    </xf>
    <xf numFmtId="0" fontId="32" fillId="0" borderId="6" xfId="0" applyFont="1" applyBorder="1" applyAlignment="1">
      <alignment horizontal="justify" vertical="center" wrapText="1"/>
    </xf>
    <xf numFmtId="0" fontId="32" fillId="0" borderId="11" xfId="0" applyFont="1" applyBorder="1" applyAlignment="1">
      <alignment horizontal="left" vertical="center" wrapText="1"/>
    </xf>
    <xf numFmtId="0" fontId="32" fillId="0" borderId="10" xfId="0" applyFont="1" applyBorder="1" applyAlignment="1">
      <alignment horizontal="left" vertical="center" wrapText="1"/>
    </xf>
    <xf numFmtId="0" fontId="32" fillId="0" borderId="20" xfId="0" applyFont="1" applyBorder="1" applyAlignment="1">
      <alignment horizontal="left" vertical="center" wrapText="1"/>
    </xf>
    <xf numFmtId="0" fontId="35" fillId="0" borderId="6" xfId="0" applyFont="1" applyBorder="1" applyAlignment="1">
      <alignment horizontal="justify" vertical="center" wrapText="1"/>
    </xf>
    <xf numFmtId="0" fontId="32" fillId="0" borderId="8" xfId="0" applyFont="1" applyBorder="1" applyAlignment="1">
      <alignment horizontal="justify" vertical="center" wrapText="1"/>
    </xf>
    <xf numFmtId="0" fontId="35" fillId="0" borderId="11" xfId="0" applyFont="1" applyBorder="1" applyAlignment="1">
      <alignment horizontal="center" vertical="center" wrapText="1"/>
    </xf>
    <xf numFmtId="0" fontId="35" fillId="0" borderId="10" xfId="0" applyFont="1" applyBorder="1" applyAlignment="1">
      <alignment horizontal="center" vertical="center" wrapText="1"/>
    </xf>
    <xf numFmtId="0" fontId="35" fillId="0" borderId="23" xfId="0" applyFont="1" applyBorder="1" applyAlignment="1">
      <alignment horizontal="center" vertical="center" wrapText="1"/>
    </xf>
    <xf numFmtId="0" fontId="32" fillId="0" borderId="11" xfId="0" applyFont="1" applyBorder="1" applyAlignment="1">
      <alignment horizontal="center" vertical="center" wrapText="1"/>
    </xf>
    <xf numFmtId="0" fontId="32" fillId="0" borderId="10" xfId="0" applyFont="1" applyBorder="1" applyAlignment="1">
      <alignment horizontal="center" vertical="center" wrapText="1"/>
    </xf>
    <xf numFmtId="0" fontId="32" fillId="0" borderId="23" xfId="0" applyFont="1" applyBorder="1" applyAlignment="1">
      <alignment horizontal="center" vertical="center" wrapText="1"/>
    </xf>
    <xf numFmtId="0" fontId="39" fillId="11" borderId="28" xfId="0" applyFont="1" applyFill="1" applyBorder="1" applyAlignment="1">
      <alignment horizontal="right" vertical="center" wrapText="1"/>
    </xf>
    <xf numFmtId="0" fontId="39" fillId="11" borderId="29" xfId="0" applyFont="1" applyFill="1" applyBorder="1" applyAlignment="1">
      <alignment horizontal="right" vertical="center" wrapText="1"/>
    </xf>
    <xf numFmtId="0" fontId="39" fillId="11" borderId="61" xfId="0" applyFont="1" applyFill="1" applyBorder="1" applyAlignment="1">
      <alignment horizontal="right" vertical="center" wrapText="1"/>
    </xf>
    <xf numFmtId="0" fontId="32" fillId="0" borderId="10" xfId="0" applyFont="1" applyFill="1" applyBorder="1" applyAlignment="1">
      <alignment horizontal="center" vertical="center" wrapText="1"/>
    </xf>
    <xf numFmtId="0" fontId="42" fillId="11" borderId="28" xfId="0" applyFont="1" applyFill="1" applyBorder="1" applyAlignment="1">
      <alignment horizontal="right" vertical="center" wrapText="1"/>
    </xf>
    <xf numFmtId="0" fontId="42" fillId="11" borderId="29" xfId="0" applyFont="1" applyFill="1" applyBorder="1" applyAlignment="1">
      <alignment horizontal="right" vertical="center" wrapText="1"/>
    </xf>
    <xf numFmtId="0" fontId="42" fillId="11" borderId="61" xfId="0" applyFont="1" applyFill="1" applyBorder="1" applyAlignment="1">
      <alignment horizontal="right" vertical="center" wrapText="1"/>
    </xf>
    <xf numFmtId="0" fontId="43" fillId="0" borderId="62" xfId="0" applyFont="1" applyBorder="1" applyAlignment="1">
      <alignment horizontal="left" vertical="center" wrapText="1"/>
    </xf>
    <xf numFmtId="0" fontId="0" fillId="0" borderId="12" xfId="0" applyBorder="1" applyAlignment="1">
      <alignment vertical="top" wrapText="1"/>
    </xf>
    <xf numFmtId="0" fontId="0" fillId="0" borderId="14" xfId="0" applyBorder="1" applyAlignment="1">
      <alignment vertical="top" wrapText="1"/>
    </xf>
    <xf numFmtId="0" fontId="0" fillId="0" borderId="13" xfId="0" applyBorder="1" applyAlignment="1">
      <alignment vertical="top" wrapText="1"/>
    </xf>
    <xf numFmtId="0" fontId="44" fillId="0" borderId="12" xfId="0" applyFont="1" applyBorder="1" applyAlignment="1">
      <alignment vertical="top" wrapText="1"/>
    </xf>
    <xf numFmtId="0" fontId="44" fillId="0" borderId="14" xfId="0" applyFont="1" applyBorder="1" applyAlignment="1">
      <alignment vertical="top" wrapText="1"/>
    </xf>
    <xf numFmtId="3" fontId="44" fillId="10" borderId="12" xfId="0" applyNumberFormat="1" applyFont="1" applyFill="1" applyBorder="1" applyAlignment="1">
      <alignment vertical="top" wrapText="1"/>
    </xf>
    <xf numFmtId="3" fontId="44" fillId="10" borderId="14" xfId="0" applyNumberFormat="1" applyFont="1" applyFill="1" applyBorder="1" applyAlignment="1">
      <alignment vertical="top" wrapText="1"/>
    </xf>
    <xf numFmtId="0" fontId="44" fillId="10" borderId="12" xfId="0" applyFont="1" applyFill="1" applyBorder="1" applyAlignment="1">
      <alignment vertical="top" wrapText="1"/>
    </xf>
    <xf numFmtId="0" fontId="44" fillId="10" borderId="14" xfId="0" applyFont="1" applyFill="1" applyBorder="1" applyAlignment="1">
      <alignment vertical="top" wrapText="1"/>
    </xf>
    <xf numFmtId="0" fontId="44" fillId="0" borderId="13" xfId="0" applyFont="1" applyBorder="1" applyAlignment="1">
      <alignment vertical="top" wrapText="1"/>
    </xf>
    <xf numFmtId="0" fontId="0" fillId="0" borderId="0" xfId="0" applyAlignment="1">
      <alignment horizontal="center"/>
    </xf>
    <xf numFmtId="0" fontId="0" fillId="0" borderId="0" xfId="0" applyAlignment="1">
      <alignment horizontal="center" vertical="center" wrapText="1"/>
    </xf>
  </cellXfs>
  <cellStyles count="13">
    <cellStyle name="Hipervínculo" xfId="10" builtinId="8"/>
    <cellStyle name="Millares" xfId="4" builtinId="3"/>
    <cellStyle name="Millares [0] 2" xfId="8"/>
    <cellStyle name="Millares [0] 3" xfId="9"/>
    <cellStyle name="Millares 2" xfId="7"/>
    <cellStyle name="Moneda" xfId="3" builtinId="4"/>
    <cellStyle name="Moneda 2" xfId="2"/>
    <cellStyle name="Moneda 3" xfId="6"/>
    <cellStyle name="Normal" xfId="0" builtinId="0"/>
    <cellStyle name="Normal 2" xfId="1"/>
    <cellStyle name="Normal 3" xfId="11"/>
    <cellStyle name="Normal 7" xfId="12"/>
    <cellStyle name="Porcentaje" xfId="5" builtinId="5"/>
  </cellStyles>
  <dxfs count="0"/>
  <tableStyles count="0" defaultTableStyle="TableStyleMedium9" defaultPivotStyle="PivotStyleLight16"/>
  <colors>
    <mruColors>
      <color rgb="FFFFFF66"/>
      <color rgb="FFE6E3D2"/>
      <color rgb="FF99FFCC"/>
      <color rgb="FF33CCFF"/>
      <color rgb="FFCC99FF"/>
      <color rgb="FFCCCC00"/>
      <color rgb="FFFFCC66"/>
      <color rgb="FF6699FF"/>
      <color rgb="FF6666FF"/>
      <color rgb="FFFC9E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2.xml"/><Relationship Id="rId27"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0</xdr:col>
      <xdr:colOff>273843</xdr:colOff>
      <xdr:row>1</xdr:row>
      <xdr:rowOff>178595</xdr:rowOff>
    </xdr:from>
    <xdr:to>
      <xdr:col>3</xdr:col>
      <xdr:colOff>1413441</xdr:colOff>
      <xdr:row>5</xdr:row>
      <xdr:rowOff>102091</xdr:rowOff>
    </xdr:to>
    <xdr:pic>
      <xdr:nvPicPr>
        <xdr:cNvPr id="2" name="Picture 4"/>
        <xdr:cNvPicPr>
          <a:picLocks noChangeAspect="1" noChangeArrowheads="1"/>
        </xdr:cNvPicPr>
      </xdr:nvPicPr>
      <xdr:blipFill>
        <a:blip xmlns:r="http://schemas.openxmlformats.org/officeDocument/2006/relationships" r:embed="rId1" cstate="print"/>
        <a:srcRect/>
        <a:stretch>
          <a:fillRect/>
        </a:stretch>
      </xdr:blipFill>
      <xdr:spPr bwMode="auto">
        <a:xfrm>
          <a:off x="273843" y="178595"/>
          <a:ext cx="2226469" cy="852184"/>
        </a:xfrm>
        <a:prstGeom prst="rect">
          <a:avLst/>
        </a:prstGeom>
        <a:noFill/>
        <a:ln w="9525">
          <a:noFill/>
          <a:miter lim="800000"/>
          <a:headEnd/>
          <a:tailEnd/>
        </a:ln>
      </xdr:spPr>
    </xdr:pic>
    <xdr:clientData/>
  </xdr:twoCellAnchor>
  <xdr:twoCellAnchor>
    <xdr:from>
      <xdr:col>2</xdr:col>
      <xdr:colOff>394928</xdr:colOff>
      <xdr:row>62</xdr:row>
      <xdr:rowOff>41015</xdr:rowOff>
    </xdr:from>
    <xdr:to>
      <xdr:col>8</xdr:col>
      <xdr:colOff>113221</xdr:colOff>
      <xdr:row>79</xdr:row>
      <xdr:rowOff>163286</xdr:rowOff>
    </xdr:to>
    <xdr:sp macro="" textlink="">
      <xdr:nvSpPr>
        <xdr:cNvPr id="3" name="2 CuadroTexto"/>
        <xdr:cNvSpPr txBox="1"/>
      </xdr:nvSpPr>
      <xdr:spPr>
        <a:xfrm>
          <a:off x="735107" y="40386194"/>
          <a:ext cx="7596828" cy="338798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r>
            <a:rPr lang="es-CO" sz="1200" b="1"/>
            <a:t>ANÁLISIS ESTUDIO DE MERCADO:</a:t>
          </a:r>
        </a:p>
        <a:p>
          <a:endParaRPr lang="es-CO" sz="1200" b="1"/>
        </a:p>
        <a:p>
          <a:pPr lvl="0"/>
          <a:r>
            <a:rPr lang="es-CO" sz="1200">
              <a:solidFill>
                <a:schemeClr val="dk1"/>
              </a:solidFill>
              <a:latin typeface="+mn-lt"/>
              <a:ea typeface="+mn-ea"/>
              <a:cs typeface="+mn-cs"/>
            </a:rPr>
            <a:t>1. Para determinar el valor de estudio de mercado se eliminó al proponente más alto debido a que su oferta se encontraba un 45% aprox. por encima de las otras ofertas.</a:t>
          </a:r>
        </a:p>
        <a:p>
          <a:pPr lvl="0"/>
          <a:endParaRPr lang="es-CO" sz="1200">
            <a:solidFill>
              <a:schemeClr val="dk1"/>
            </a:solidFill>
            <a:latin typeface="+mn-lt"/>
            <a:ea typeface="+mn-ea"/>
            <a:cs typeface="+mn-cs"/>
          </a:endParaRPr>
        </a:p>
        <a:p>
          <a:pPr lvl="0"/>
          <a:r>
            <a:rPr lang="es-CO" sz="1200">
              <a:solidFill>
                <a:schemeClr val="dk1"/>
              </a:solidFill>
              <a:latin typeface="+mn-lt"/>
              <a:ea typeface="+mn-ea"/>
              <a:cs typeface="+mn-cs"/>
            </a:rPr>
            <a:t>2. Para determinar el presupuesto se tomó el promedio entre las ofertas presentadas por los proponentes B</a:t>
          </a:r>
          <a:r>
            <a:rPr lang="es-CO" sz="1200" baseline="0">
              <a:solidFill>
                <a:schemeClr val="dk1"/>
              </a:solidFill>
              <a:latin typeface="+mn-lt"/>
              <a:ea typeface="+mn-ea"/>
              <a:cs typeface="+mn-cs"/>
            </a:rPr>
            <a:t> y C</a:t>
          </a:r>
          <a:endParaRPr lang="es-CO" sz="1200">
            <a:solidFill>
              <a:schemeClr val="dk1"/>
            </a:solidFill>
            <a:latin typeface="+mn-lt"/>
            <a:ea typeface="+mn-ea"/>
            <a:cs typeface="+mn-cs"/>
          </a:endParaRPr>
        </a:p>
        <a:p>
          <a:pPr lvl="0"/>
          <a:endParaRPr lang="es-CO" sz="1200">
            <a:solidFill>
              <a:schemeClr val="dk1"/>
            </a:solidFill>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s-CO" sz="1100">
              <a:solidFill>
                <a:schemeClr val="dk1"/>
              </a:solidFill>
              <a:latin typeface="+mn-lt"/>
              <a:ea typeface="+mn-ea"/>
              <a:cs typeface="+mn-cs"/>
            </a:rPr>
            <a:t>3. En el evento de comunicaciones se eliminó</a:t>
          </a:r>
          <a:r>
            <a:rPr lang="es-CO" sz="1100" baseline="0">
              <a:solidFill>
                <a:schemeClr val="dk1"/>
              </a:solidFill>
              <a:latin typeface="+mn-lt"/>
              <a:ea typeface="+mn-ea"/>
              <a:cs typeface="+mn-cs"/>
            </a:rPr>
            <a:t> el ítem de  streaming y  grabación en  video, toda vez que estos servicios se adquieren a través del proceso  de transmisión de eventos </a:t>
          </a:r>
        </a:p>
        <a:p>
          <a:pPr marL="0" marR="0" lvl="0" indent="0" defTabSz="914400" eaLnBrk="1" fontAlgn="auto" latinLnBrk="0" hangingPunct="1">
            <a:lnSpc>
              <a:spcPct val="100000"/>
            </a:lnSpc>
            <a:spcBef>
              <a:spcPts val="0"/>
            </a:spcBef>
            <a:spcAft>
              <a:spcPts val="0"/>
            </a:spcAft>
            <a:buClrTx/>
            <a:buSzTx/>
            <a:buFontTx/>
            <a:buNone/>
            <a:tabLst/>
            <a:defRPr/>
          </a:pPr>
          <a:endParaRPr lang="es-CO" sz="1100" baseline="0">
            <a:solidFill>
              <a:schemeClr val="dk1"/>
            </a:solidFill>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s-CO" sz="1100">
              <a:solidFill>
                <a:schemeClr val="dk1"/>
              </a:solidFill>
              <a:latin typeface="+mn-lt"/>
              <a:ea typeface="+mn-ea"/>
              <a:cs typeface="+mn-cs"/>
            </a:rPr>
            <a:t>4.Los eventos de</a:t>
          </a:r>
          <a:r>
            <a:rPr lang="es-CO" sz="1100" baseline="0">
              <a:solidFill>
                <a:schemeClr val="dk1"/>
              </a:solidFill>
              <a:latin typeface="+mn-lt"/>
              <a:ea typeface="+mn-ea"/>
              <a:cs typeface="+mn-cs"/>
            </a:rPr>
            <a:t> la oficina de comunicaciones a contratar a través de este proceso, según el resultado del estudio de mercado </a:t>
          </a:r>
          <a:r>
            <a:rPr lang="es-CO" sz="1100">
              <a:solidFill>
                <a:schemeClr val="dk1"/>
              </a:solidFill>
              <a:latin typeface="+mn-lt"/>
              <a:ea typeface="+mn-ea"/>
              <a:cs typeface="+mn-cs"/>
            </a:rPr>
            <a:t>corresponden a la suma de: $ 10.568.760.</a:t>
          </a:r>
          <a:endParaRPr lang="es-CO"/>
        </a:p>
        <a:p>
          <a:pPr marL="0" marR="0" lvl="0" indent="0" defTabSz="914400" eaLnBrk="1" fontAlgn="auto" latinLnBrk="0" hangingPunct="1">
            <a:lnSpc>
              <a:spcPct val="100000"/>
            </a:lnSpc>
            <a:spcBef>
              <a:spcPts val="0"/>
            </a:spcBef>
            <a:spcAft>
              <a:spcPts val="0"/>
            </a:spcAft>
            <a:buClrTx/>
            <a:buSzTx/>
            <a:buFontTx/>
            <a:buNone/>
            <a:tabLst/>
            <a:defRPr/>
          </a:pPr>
          <a:endParaRPr lang="es-CO" sz="1100" baseline="0">
            <a:solidFill>
              <a:schemeClr val="dk1"/>
            </a:solidFill>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s-CO" sz="1100" baseline="0">
              <a:solidFill>
                <a:schemeClr val="dk1"/>
              </a:solidFill>
              <a:latin typeface="+mn-lt"/>
              <a:ea typeface="+mn-ea"/>
              <a:cs typeface="+mn-cs"/>
            </a:rPr>
            <a:t>5. En los eventos de la Dirección de Evaluación se eliminó el evento  "Reuniones de planeación - Dirección de Evaluación 2014" por solicitud de la Dirección de Evaluación.</a:t>
          </a:r>
        </a:p>
        <a:p>
          <a:pPr marL="0" marR="0" lvl="0" indent="0" defTabSz="914400" eaLnBrk="1" fontAlgn="auto" latinLnBrk="0" hangingPunct="1">
            <a:lnSpc>
              <a:spcPct val="100000"/>
            </a:lnSpc>
            <a:spcBef>
              <a:spcPts val="0"/>
            </a:spcBef>
            <a:spcAft>
              <a:spcPts val="0"/>
            </a:spcAft>
            <a:buClrTx/>
            <a:buSzTx/>
            <a:buFontTx/>
            <a:buNone/>
            <a:tabLst/>
            <a:defRPr/>
          </a:pPr>
          <a:endParaRPr lang="es-CO" sz="1100" baseline="0">
            <a:solidFill>
              <a:schemeClr val="dk1"/>
            </a:solidFill>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s-CO" sz="1100" baseline="0">
              <a:solidFill>
                <a:schemeClr val="dk1"/>
              </a:solidFill>
              <a:latin typeface="+mn-lt"/>
              <a:ea typeface="+mn-ea"/>
              <a:cs typeface="+mn-cs"/>
            </a:rPr>
            <a:t>6. Los eventos de la Dirección de Evaluación a contratar a través de este proceso según el resultado del estudio de mercado corresponden a la suma de  $152.947.624</a:t>
          </a:r>
        </a:p>
        <a:p>
          <a:pPr marL="0" marR="0" lvl="0" indent="0" defTabSz="914400" eaLnBrk="1" fontAlgn="auto" latinLnBrk="0" hangingPunct="1">
            <a:lnSpc>
              <a:spcPct val="100000"/>
            </a:lnSpc>
            <a:spcBef>
              <a:spcPts val="0"/>
            </a:spcBef>
            <a:spcAft>
              <a:spcPts val="0"/>
            </a:spcAft>
            <a:buClrTx/>
            <a:buSzTx/>
            <a:buFontTx/>
            <a:buNone/>
            <a:tabLst/>
            <a:defRPr/>
          </a:pPr>
          <a:endParaRPr lang="es-CO" sz="1100" baseline="0">
            <a:solidFill>
              <a:schemeClr val="dk1"/>
            </a:solidFill>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s-CO" sz="1100" baseline="0">
              <a:solidFill>
                <a:schemeClr val="dk1"/>
              </a:solidFill>
              <a:latin typeface="+mn-lt"/>
              <a:ea typeface="+mn-ea"/>
              <a:cs typeface="+mn-cs"/>
            </a:rPr>
            <a:t>	</a:t>
          </a:r>
          <a:endParaRPr lang="es-CO" sz="1100">
            <a:solidFill>
              <a:schemeClr val="dk1"/>
            </a:solidFill>
            <a:latin typeface="+mn-lt"/>
            <a:ea typeface="+mn-ea"/>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273843</xdr:colOff>
      <xdr:row>1</xdr:row>
      <xdr:rowOff>178595</xdr:rowOff>
    </xdr:from>
    <xdr:to>
      <xdr:col>3</xdr:col>
      <xdr:colOff>1413441</xdr:colOff>
      <xdr:row>5</xdr:row>
      <xdr:rowOff>102091</xdr:rowOff>
    </xdr:to>
    <xdr:pic>
      <xdr:nvPicPr>
        <xdr:cNvPr id="2" name="Picture 4"/>
        <xdr:cNvPicPr>
          <a:picLocks noChangeAspect="1" noChangeArrowheads="1"/>
        </xdr:cNvPicPr>
      </xdr:nvPicPr>
      <xdr:blipFill>
        <a:blip xmlns:r="http://schemas.openxmlformats.org/officeDocument/2006/relationships" r:embed="rId1" cstate="print"/>
        <a:srcRect/>
        <a:stretch>
          <a:fillRect/>
        </a:stretch>
      </xdr:blipFill>
      <xdr:spPr bwMode="auto">
        <a:xfrm>
          <a:off x="273843" y="369095"/>
          <a:ext cx="2215923" cy="837896"/>
        </a:xfrm>
        <a:prstGeom prst="rect">
          <a:avLst/>
        </a:prstGeom>
        <a:noFill/>
        <a:ln w="9525">
          <a:noFill/>
          <a:miter lim="800000"/>
          <a:headEnd/>
          <a:tailEnd/>
        </a:ln>
      </xdr:spPr>
    </xdr:pic>
    <xdr:clientData/>
  </xdr:twoCellAnchor>
  <xdr:twoCellAnchor>
    <xdr:from>
      <xdr:col>2</xdr:col>
      <xdr:colOff>394928</xdr:colOff>
      <xdr:row>63</xdr:row>
      <xdr:rowOff>41015</xdr:rowOff>
    </xdr:from>
    <xdr:to>
      <xdr:col>8</xdr:col>
      <xdr:colOff>113221</xdr:colOff>
      <xdr:row>80</xdr:row>
      <xdr:rowOff>163286</xdr:rowOff>
    </xdr:to>
    <xdr:sp macro="" textlink="">
      <xdr:nvSpPr>
        <xdr:cNvPr id="3" name="2 CuadroTexto"/>
        <xdr:cNvSpPr txBox="1"/>
      </xdr:nvSpPr>
      <xdr:spPr>
        <a:xfrm>
          <a:off x="737828" y="40350815"/>
          <a:ext cx="7585943" cy="337982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r>
            <a:rPr lang="es-CO" sz="1200" b="1"/>
            <a:t>ANÁLISIS ESTUDIO DE MERCADO:</a:t>
          </a:r>
        </a:p>
        <a:p>
          <a:endParaRPr lang="es-CO" sz="1200" b="1"/>
        </a:p>
        <a:p>
          <a:pPr lvl="0"/>
          <a:r>
            <a:rPr lang="es-CO" sz="1200">
              <a:solidFill>
                <a:schemeClr val="dk1"/>
              </a:solidFill>
              <a:latin typeface="+mn-lt"/>
              <a:ea typeface="+mn-ea"/>
              <a:cs typeface="+mn-cs"/>
            </a:rPr>
            <a:t>1. Para determinar el valor de estudio de mercado se eliminó al proponente más alto debido a que su oferta se encontraba un 45% aprox. por encima de las otras ofertas.</a:t>
          </a:r>
        </a:p>
        <a:p>
          <a:pPr lvl="0"/>
          <a:endParaRPr lang="es-CO" sz="1200">
            <a:solidFill>
              <a:schemeClr val="dk1"/>
            </a:solidFill>
            <a:latin typeface="+mn-lt"/>
            <a:ea typeface="+mn-ea"/>
            <a:cs typeface="+mn-cs"/>
          </a:endParaRPr>
        </a:p>
        <a:p>
          <a:pPr lvl="0"/>
          <a:r>
            <a:rPr lang="es-CO" sz="1200">
              <a:solidFill>
                <a:schemeClr val="dk1"/>
              </a:solidFill>
              <a:latin typeface="+mn-lt"/>
              <a:ea typeface="+mn-ea"/>
              <a:cs typeface="+mn-cs"/>
            </a:rPr>
            <a:t>2. Para determinar el presupuesto se tomó el promedio entre las ofertas presentadas por los proponentes B</a:t>
          </a:r>
          <a:r>
            <a:rPr lang="es-CO" sz="1200" baseline="0">
              <a:solidFill>
                <a:schemeClr val="dk1"/>
              </a:solidFill>
              <a:latin typeface="+mn-lt"/>
              <a:ea typeface="+mn-ea"/>
              <a:cs typeface="+mn-cs"/>
            </a:rPr>
            <a:t> y C</a:t>
          </a:r>
          <a:endParaRPr lang="es-CO" sz="1200">
            <a:solidFill>
              <a:schemeClr val="dk1"/>
            </a:solidFill>
            <a:latin typeface="+mn-lt"/>
            <a:ea typeface="+mn-ea"/>
            <a:cs typeface="+mn-cs"/>
          </a:endParaRPr>
        </a:p>
        <a:p>
          <a:pPr lvl="0"/>
          <a:endParaRPr lang="es-CO" sz="1200">
            <a:solidFill>
              <a:schemeClr val="dk1"/>
            </a:solidFill>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s-CO" sz="1100">
              <a:solidFill>
                <a:schemeClr val="dk1"/>
              </a:solidFill>
              <a:latin typeface="+mn-lt"/>
              <a:ea typeface="+mn-ea"/>
              <a:cs typeface="+mn-cs"/>
            </a:rPr>
            <a:t>3. En el evento de comunicaciones se eliminó</a:t>
          </a:r>
          <a:r>
            <a:rPr lang="es-CO" sz="1100" baseline="0">
              <a:solidFill>
                <a:schemeClr val="dk1"/>
              </a:solidFill>
              <a:latin typeface="+mn-lt"/>
              <a:ea typeface="+mn-ea"/>
              <a:cs typeface="+mn-cs"/>
            </a:rPr>
            <a:t> el ítem de  streaming y  grabación en  video, toda vez que estos servicios se adquieren a través del proceso  de transmisión de eventos </a:t>
          </a:r>
        </a:p>
        <a:p>
          <a:pPr marL="0" marR="0" lvl="0" indent="0" defTabSz="914400" eaLnBrk="1" fontAlgn="auto" latinLnBrk="0" hangingPunct="1">
            <a:lnSpc>
              <a:spcPct val="100000"/>
            </a:lnSpc>
            <a:spcBef>
              <a:spcPts val="0"/>
            </a:spcBef>
            <a:spcAft>
              <a:spcPts val="0"/>
            </a:spcAft>
            <a:buClrTx/>
            <a:buSzTx/>
            <a:buFontTx/>
            <a:buNone/>
            <a:tabLst/>
            <a:defRPr/>
          </a:pPr>
          <a:endParaRPr lang="es-CO" sz="1100" baseline="0">
            <a:solidFill>
              <a:schemeClr val="dk1"/>
            </a:solidFill>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s-CO" sz="1100">
              <a:solidFill>
                <a:schemeClr val="dk1"/>
              </a:solidFill>
              <a:latin typeface="+mn-lt"/>
              <a:ea typeface="+mn-ea"/>
              <a:cs typeface="+mn-cs"/>
            </a:rPr>
            <a:t>4.Los eventos de</a:t>
          </a:r>
          <a:r>
            <a:rPr lang="es-CO" sz="1100" baseline="0">
              <a:solidFill>
                <a:schemeClr val="dk1"/>
              </a:solidFill>
              <a:latin typeface="+mn-lt"/>
              <a:ea typeface="+mn-ea"/>
              <a:cs typeface="+mn-cs"/>
            </a:rPr>
            <a:t> la oficina de comunicaciones a contratar a través de este proceso, según el resultado del estudio de mercado </a:t>
          </a:r>
          <a:r>
            <a:rPr lang="es-CO" sz="1100">
              <a:solidFill>
                <a:schemeClr val="dk1"/>
              </a:solidFill>
              <a:latin typeface="+mn-lt"/>
              <a:ea typeface="+mn-ea"/>
              <a:cs typeface="+mn-cs"/>
            </a:rPr>
            <a:t>corresponden a la suma de: $ 10.568.760.</a:t>
          </a:r>
          <a:endParaRPr lang="es-CO"/>
        </a:p>
        <a:p>
          <a:pPr marL="0" marR="0" lvl="0" indent="0" defTabSz="914400" eaLnBrk="1" fontAlgn="auto" latinLnBrk="0" hangingPunct="1">
            <a:lnSpc>
              <a:spcPct val="100000"/>
            </a:lnSpc>
            <a:spcBef>
              <a:spcPts val="0"/>
            </a:spcBef>
            <a:spcAft>
              <a:spcPts val="0"/>
            </a:spcAft>
            <a:buClrTx/>
            <a:buSzTx/>
            <a:buFontTx/>
            <a:buNone/>
            <a:tabLst/>
            <a:defRPr/>
          </a:pPr>
          <a:endParaRPr lang="es-CO" sz="1100" baseline="0">
            <a:solidFill>
              <a:schemeClr val="dk1"/>
            </a:solidFill>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s-CO" sz="1100" baseline="0">
              <a:solidFill>
                <a:schemeClr val="dk1"/>
              </a:solidFill>
              <a:latin typeface="+mn-lt"/>
              <a:ea typeface="+mn-ea"/>
              <a:cs typeface="+mn-cs"/>
            </a:rPr>
            <a:t>5. En los eventos de la Dirección de Evaluación se eliminó el evento  "Reuniones de planeación - Dirección de Evaluación 2014" por solicitud de la Dirección de Evaluación.</a:t>
          </a:r>
        </a:p>
        <a:p>
          <a:pPr marL="0" marR="0" lvl="0" indent="0" defTabSz="914400" eaLnBrk="1" fontAlgn="auto" latinLnBrk="0" hangingPunct="1">
            <a:lnSpc>
              <a:spcPct val="100000"/>
            </a:lnSpc>
            <a:spcBef>
              <a:spcPts val="0"/>
            </a:spcBef>
            <a:spcAft>
              <a:spcPts val="0"/>
            </a:spcAft>
            <a:buClrTx/>
            <a:buSzTx/>
            <a:buFontTx/>
            <a:buNone/>
            <a:tabLst/>
            <a:defRPr/>
          </a:pPr>
          <a:endParaRPr lang="es-CO" sz="1100" baseline="0">
            <a:solidFill>
              <a:schemeClr val="dk1"/>
            </a:solidFill>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s-CO" sz="1100" baseline="0">
              <a:solidFill>
                <a:schemeClr val="dk1"/>
              </a:solidFill>
              <a:latin typeface="+mn-lt"/>
              <a:ea typeface="+mn-ea"/>
              <a:cs typeface="+mn-cs"/>
            </a:rPr>
            <a:t>6. Los eventos de la Dirección de Evaluación a contratar a través de este proceso según el resultado del estudio de mercado corresponden a la suma de  $152.947.624</a:t>
          </a:r>
        </a:p>
        <a:p>
          <a:pPr marL="0" marR="0" lvl="0" indent="0" defTabSz="914400" eaLnBrk="1" fontAlgn="auto" latinLnBrk="0" hangingPunct="1">
            <a:lnSpc>
              <a:spcPct val="100000"/>
            </a:lnSpc>
            <a:spcBef>
              <a:spcPts val="0"/>
            </a:spcBef>
            <a:spcAft>
              <a:spcPts val="0"/>
            </a:spcAft>
            <a:buClrTx/>
            <a:buSzTx/>
            <a:buFontTx/>
            <a:buNone/>
            <a:tabLst/>
            <a:defRPr/>
          </a:pPr>
          <a:endParaRPr lang="es-CO" sz="1100" baseline="0">
            <a:solidFill>
              <a:schemeClr val="dk1"/>
            </a:solidFill>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s-CO" sz="1100" baseline="0">
              <a:solidFill>
                <a:schemeClr val="dk1"/>
              </a:solidFill>
              <a:latin typeface="+mn-lt"/>
              <a:ea typeface="+mn-ea"/>
              <a:cs typeface="+mn-cs"/>
            </a:rPr>
            <a:t>	</a:t>
          </a:r>
          <a:endParaRPr lang="es-CO" sz="1100">
            <a:solidFill>
              <a:schemeClr val="dk1"/>
            </a:solidFill>
            <a:latin typeface="+mn-lt"/>
            <a:ea typeface="+mn-ea"/>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4514850</xdr:colOff>
      <xdr:row>79</xdr:row>
      <xdr:rowOff>58420</xdr:rowOff>
    </xdr:from>
    <xdr:to>
      <xdr:col>2</xdr:col>
      <xdr:colOff>419100</xdr:colOff>
      <xdr:row>86</xdr:row>
      <xdr:rowOff>47624</xdr:rowOff>
    </xdr:to>
    <xdr:pic>
      <xdr:nvPicPr>
        <xdr:cNvPr id="2" name="1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010150" y="11974195"/>
          <a:ext cx="1438275" cy="112267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93</xdr:row>
      <xdr:rowOff>0</xdr:rowOff>
    </xdr:from>
    <xdr:to>
      <xdr:col>6</xdr:col>
      <xdr:colOff>1047750</xdr:colOff>
      <xdr:row>145</xdr:row>
      <xdr:rowOff>152400</xdr:rowOff>
    </xdr:to>
    <xdr:pic>
      <xdr:nvPicPr>
        <xdr:cNvPr id="2049" name="Picture 1"/>
        <xdr:cNvPicPr>
          <a:picLocks noChangeAspect="1" noChangeArrowheads="1"/>
        </xdr:cNvPicPr>
      </xdr:nvPicPr>
      <xdr:blipFill>
        <a:blip xmlns:r="http://schemas.openxmlformats.org/officeDocument/2006/relationships" r:embed="rId1"/>
        <a:srcRect/>
        <a:stretch>
          <a:fillRect/>
        </a:stretch>
      </xdr:blipFill>
      <xdr:spPr bwMode="auto">
        <a:xfrm>
          <a:off x="495300" y="40433625"/>
          <a:ext cx="13716000" cy="8572500"/>
        </a:xfrm>
        <a:prstGeom prst="rect">
          <a:avLst/>
        </a:prstGeom>
        <a:noFill/>
        <a:ln w="1">
          <a:noFill/>
          <a:miter lim="800000"/>
          <a:headEnd/>
          <a:tailEnd type="none" w="med" len="med"/>
        </a:ln>
        <a:effec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396352</xdr:colOff>
      <xdr:row>87</xdr:row>
      <xdr:rowOff>32494</xdr:rowOff>
    </xdr:from>
    <xdr:to>
      <xdr:col>4</xdr:col>
      <xdr:colOff>816717</xdr:colOff>
      <xdr:row>100</xdr:row>
      <xdr:rowOff>44650</xdr:rowOff>
    </xdr:to>
    <xdr:pic>
      <xdr:nvPicPr>
        <xdr:cNvPr id="2" name="1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425677" y="39551719"/>
          <a:ext cx="2744465" cy="21171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137584</xdr:colOff>
      <xdr:row>0</xdr:row>
      <xdr:rowOff>63499</xdr:rowOff>
    </xdr:from>
    <xdr:to>
      <xdr:col>2</xdr:col>
      <xdr:colOff>486833</xdr:colOff>
      <xdr:row>2</xdr:row>
      <xdr:rowOff>172194</xdr:rowOff>
    </xdr:to>
    <xdr:pic>
      <xdr:nvPicPr>
        <xdr:cNvPr id="2" name="Picture 70"/>
        <xdr:cNvPicPr>
          <a:picLocks noChangeAspect="1" noChangeArrowheads="1"/>
        </xdr:cNvPicPr>
      </xdr:nvPicPr>
      <xdr:blipFill>
        <a:blip xmlns:r="http://schemas.openxmlformats.org/officeDocument/2006/relationships" r:embed="rId1" cstate="print"/>
        <a:srcRect/>
        <a:stretch>
          <a:fillRect/>
        </a:stretch>
      </xdr:blipFill>
      <xdr:spPr bwMode="auto">
        <a:xfrm>
          <a:off x="909109" y="63499"/>
          <a:ext cx="1196974" cy="461120"/>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plan%20de%20compras%20migrado%2018%20oct%202011.xlsx"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Copia%20de%20Plan_de_compras_SEVEN_2011-10-11%20%20ADRIANA%20DIAZ.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jortega/Documents/2016/LICITACION/LICITACION/COMUNICACIONES/Cotizaciones/Solicitud%20cotizacion%20feb%2004_optima.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jortega/Downloads/Copia%20de%20Estudio%20de%20mercado%20Consolidad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de compras"/>
      <sheetName val="bienes y servicios"/>
      <sheetName val="UNIDAD MEDIDA"/>
      <sheetName val="proyectos"/>
      <sheetName val="centros de costo"/>
      <sheetName val="HOMOLOGACION RUBROS"/>
    </sheetNames>
    <sheetDataSet>
      <sheetData sheetId="0"/>
      <sheetData sheetId="1">
        <row r="3">
          <cell r="F3" t="str">
            <v>PRODUCTO NULO</v>
          </cell>
        </row>
        <row r="4">
          <cell r="F4" t="str">
            <v>MATERIALES PARA CONSTRUCCION</v>
          </cell>
        </row>
        <row r="5">
          <cell r="F5" t="str">
            <v>Piola de Madeja</v>
          </cell>
        </row>
        <row r="6">
          <cell r="F6" t="str">
            <v>CONSUMO</v>
          </cell>
        </row>
        <row r="7">
          <cell r="F7" t="str">
            <v xml:space="preserve">MATERIALES PARA </v>
          </cell>
        </row>
        <row r="8">
          <cell r="F8" t="str">
            <v xml:space="preserve">MATERIALES PARA </v>
          </cell>
        </row>
        <row r="9">
          <cell r="F9" t="str">
            <v>Hilo De Polipropileno</v>
          </cell>
        </row>
        <row r="10">
          <cell r="F10" t="str">
            <v>Rollos De Polipropileno</v>
          </cell>
        </row>
        <row r="11">
          <cell r="F11" t="str">
            <v>Espatulas Plasticas De 3"</v>
          </cell>
        </row>
        <row r="12">
          <cell r="F12" t="str">
            <v>Espatulas Metalicas De 2"</v>
          </cell>
        </row>
        <row r="13">
          <cell r="F13" t="str">
            <v>Espatulas Metalicas De 4"</v>
          </cell>
        </row>
        <row r="14">
          <cell r="F14" t="str">
            <v>Espatulas Metalicas De 5"</v>
          </cell>
        </row>
        <row r="15">
          <cell r="F15" t="str">
            <v>Espatulas Metalicas De 3"</v>
          </cell>
        </row>
        <row r="16">
          <cell r="F16" t="str">
            <v>Cemento Gris</v>
          </cell>
        </row>
        <row r="17">
          <cell r="F17" t="str">
            <v>Arena</v>
          </cell>
        </row>
        <row r="18">
          <cell r="F18" t="str">
            <v>Cemento Blanco</v>
          </cell>
        </row>
        <row r="19">
          <cell r="F19" t="str">
            <v>Arena De Rio</v>
          </cell>
        </row>
        <row r="20">
          <cell r="F20" t="str">
            <v>Estuco Plastico</v>
          </cell>
        </row>
        <row r="21">
          <cell r="F21" t="str">
            <v xml:space="preserve">Guantes Industriales De Caucho No. </v>
          </cell>
        </row>
        <row r="22">
          <cell r="F22" t="str">
            <v>Guantes De Lona Para Acarreo</v>
          </cell>
        </row>
        <row r="23">
          <cell r="F23" t="str">
            <v>Guantes Nitrilo</v>
          </cell>
        </row>
        <row r="24">
          <cell r="F24" t="str">
            <v>Guantes Nitrilo Touch Tuff</v>
          </cell>
        </row>
        <row r="25">
          <cell r="F25" t="str">
            <v>Guantes Neopreno</v>
          </cell>
        </row>
        <row r="26">
          <cell r="F26" t="str">
            <v>Guante En Vaqueta Reforzado</v>
          </cell>
        </row>
        <row r="27">
          <cell r="F27" t="str">
            <v xml:space="preserve">Tornillo Golozo De Una Pulgada </v>
          </cell>
        </row>
        <row r="28">
          <cell r="F28" t="str">
            <v>Abrazadera De 3 1/4</v>
          </cell>
        </row>
        <row r="29">
          <cell r="F29" t="str">
            <v>Tapa Metalica 1 Ventana</v>
          </cell>
        </row>
        <row r="30">
          <cell r="F30" t="str">
            <v>Tapa Plastica De 2 Ventanas</v>
          </cell>
        </row>
        <row r="31">
          <cell r="F31" t="str">
            <v>Brocas De Tugsteno De 1/2</v>
          </cell>
        </row>
        <row r="32">
          <cell r="F32" t="str">
            <v>Brocas De Tugsteno De 3/8 9.5</v>
          </cell>
        </row>
        <row r="33">
          <cell r="F33" t="str">
            <v>Tapa Metalica De 2 Ventanas</v>
          </cell>
        </row>
        <row r="34">
          <cell r="F34" t="str">
            <v>Chazos Plasticos 1/4</v>
          </cell>
        </row>
        <row r="35">
          <cell r="F35" t="str">
            <v xml:space="preserve">Chazos Plasticos De 1/2 (No </v>
          </cell>
        </row>
        <row r="36">
          <cell r="F36" t="str">
            <v>Lija Para Agua No.80 Pliego</v>
          </cell>
        </row>
        <row r="37">
          <cell r="F37" t="str">
            <v>Bisagras De 5 1/2 Angosta</v>
          </cell>
        </row>
        <row r="38">
          <cell r="F38" t="str">
            <v>Bisagras De 2 1/2 Ancha</v>
          </cell>
        </row>
        <row r="39">
          <cell r="F39" t="str">
            <v>Alambre Dulce</v>
          </cell>
        </row>
        <row r="40">
          <cell r="F40" t="str">
            <v>Repuesto Para Lavamanos Grival</v>
          </cell>
        </row>
        <row r="41">
          <cell r="F41" t="str">
            <v>Bisagras De 2 1/2" (No Utilizar)</v>
          </cell>
        </row>
        <row r="42">
          <cell r="F42" t="str">
            <v>Cilindro Toshiba 5610-5620-5832</v>
          </cell>
        </row>
        <row r="43">
          <cell r="F43" t="str">
            <v>Cuchilla Para Cepillo De Carpinteria</v>
          </cell>
        </row>
        <row r="44">
          <cell r="F44" t="str">
            <v xml:space="preserve">Monoelemento Para Maquina De </v>
          </cell>
        </row>
        <row r="45">
          <cell r="F45" t="str">
            <v>Contactor Siemens</v>
          </cell>
        </row>
        <row r="46">
          <cell r="F46" t="str">
            <v>Barra De Soldadura Super Se-613</v>
          </cell>
        </row>
        <row r="47">
          <cell r="F47" t="str">
            <v xml:space="preserve">Margarita Para Maquina De Escribir </v>
          </cell>
        </row>
        <row r="48">
          <cell r="F48" t="str">
            <v>Union Plastica De 3/4</v>
          </cell>
        </row>
        <row r="49">
          <cell r="F49" t="str">
            <v>Mezcladores Para Lavamanos</v>
          </cell>
        </row>
        <row r="50">
          <cell r="F50" t="str">
            <v>Perillas Para Impresora</v>
          </cell>
        </row>
        <row r="51">
          <cell r="F51" t="str">
            <v>Tapa Plastica 1 Ventana</v>
          </cell>
        </row>
        <row r="52">
          <cell r="F52" t="str">
            <v>Pistola Para Manguera</v>
          </cell>
        </row>
        <row r="53">
          <cell r="F53" t="str">
            <v>Manija Sanitaria</v>
          </cell>
        </row>
        <row r="54">
          <cell r="F54" t="str">
            <v xml:space="preserve">Bateria Original Vehiculo Obe 150 </v>
          </cell>
        </row>
        <row r="55">
          <cell r="F55" t="str">
            <v>Manguera Fenix 1/2</v>
          </cell>
        </row>
        <row r="56">
          <cell r="F56" t="str">
            <v>Racov Bronce</v>
          </cell>
        </row>
        <row r="57">
          <cell r="F57" t="str">
            <v>Adaptador 3/4 X 3/8"</v>
          </cell>
        </row>
        <row r="58">
          <cell r="F58" t="str">
            <v>Oring 2-00S</v>
          </cell>
        </row>
        <row r="59">
          <cell r="F59" t="str">
            <v>Cable Duplex 2X18 Centelsa</v>
          </cell>
        </row>
        <row r="60">
          <cell r="F60" t="str">
            <v>Pulsador Timbre S/Poner Ave</v>
          </cell>
        </row>
        <row r="61">
          <cell r="F61" t="str">
            <v>Abrazadera Mic.Pinza</v>
          </cell>
        </row>
        <row r="62">
          <cell r="F62" t="str">
            <v>Bateria Original Vehiculo Obe 150</v>
          </cell>
        </row>
        <row r="63">
          <cell r="F63" t="str">
            <v>Silicona En Spray</v>
          </cell>
        </row>
        <row r="64">
          <cell r="F64" t="str">
            <v>Conector Con Cable Amphenol</v>
          </cell>
        </row>
        <row r="65">
          <cell r="F65" t="str">
            <v>Protector Megatek Para 12 Troncales</v>
          </cell>
        </row>
        <row r="66">
          <cell r="F66" t="str">
            <v xml:space="preserve">Cable Telefonico Nivel 3 De Dos </v>
          </cell>
        </row>
        <row r="67">
          <cell r="F67" t="str">
            <v xml:space="preserve">Cable Telefonico Nivel 3 De 25 </v>
          </cell>
        </row>
        <row r="68">
          <cell r="F68" t="str">
            <v>Regleta De 25 Pares Con Soporte</v>
          </cell>
        </row>
        <row r="69">
          <cell r="F69" t="str">
            <v xml:space="preserve">Regleta De 110 De 100 Pares Con </v>
          </cell>
        </row>
        <row r="70">
          <cell r="F70" t="str">
            <v xml:space="preserve">Tornillo 8 1/2 X 3 1/2 Con Tuerca Y </v>
          </cell>
        </row>
        <row r="71">
          <cell r="F71" t="str">
            <v>Diafragma Completo Royal-Sloam</v>
          </cell>
        </row>
        <row r="72">
          <cell r="F72" t="str">
            <v>Diafragma Gem</v>
          </cell>
        </row>
        <row r="73">
          <cell r="F73" t="str">
            <v>Diafragma Completo Rex-Boy</v>
          </cell>
        </row>
        <row r="74">
          <cell r="F74" t="str">
            <v xml:space="preserve">Acople (Niple) Galvanizado 15 Cms </v>
          </cell>
        </row>
        <row r="75">
          <cell r="F75" t="str">
            <v xml:space="preserve">Empaque Para Fluxometro (No </v>
          </cell>
        </row>
        <row r="76">
          <cell r="F76" t="str">
            <v>Tubo De 1/2"</v>
          </cell>
        </row>
        <row r="77">
          <cell r="F77" t="str">
            <v xml:space="preserve">Valvula De Pie (Con Sus </v>
          </cell>
        </row>
        <row r="78">
          <cell r="F78" t="str">
            <v>Valvula Para Flotador 1 1/4</v>
          </cell>
        </row>
        <row r="79">
          <cell r="F79" t="str">
            <v xml:space="preserve">Bateria Estacionaria 12V Tipo 8D </v>
          </cell>
        </row>
        <row r="80">
          <cell r="F80" t="str">
            <v>Silicona En Barra</v>
          </cell>
        </row>
        <row r="81">
          <cell r="F81" t="str">
            <v>Broca De Tugsteno De 1/4 Por 4"</v>
          </cell>
        </row>
        <row r="82">
          <cell r="F82" t="str">
            <v>Broca De Tugsteno 5/16 X 4"</v>
          </cell>
        </row>
        <row r="83">
          <cell r="F83" t="str">
            <v>Broca De Tugsteno De 3/16</v>
          </cell>
        </row>
        <row r="84">
          <cell r="F84" t="str">
            <v>Broca De Tugsteno De 5/32 Por 3"</v>
          </cell>
        </row>
        <row r="85">
          <cell r="F85" t="str">
            <v xml:space="preserve">Chazo Plastico De 5/16 (Paquete X </v>
          </cell>
        </row>
        <row r="86">
          <cell r="F86" t="str">
            <v xml:space="preserve">Chazo Plastico De 3/8 (Paquete X </v>
          </cell>
        </row>
        <row r="87">
          <cell r="F87" t="str">
            <v>Flexometro De 5 Mts</v>
          </cell>
        </row>
        <row r="88">
          <cell r="F88" t="str">
            <v>Hojas De Segueta</v>
          </cell>
        </row>
        <row r="89">
          <cell r="F89" t="str">
            <v>Soldadura De Estaño</v>
          </cell>
        </row>
        <row r="90">
          <cell r="F90" t="str">
            <v>Tester Pequeño</v>
          </cell>
        </row>
        <row r="91">
          <cell r="F91" t="str">
            <v>Tubo De Halogeno 500W 110V</v>
          </cell>
        </row>
        <row r="92">
          <cell r="F92" t="str">
            <v>Tubos Slim Line De 48W</v>
          </cell>
        </row>
        <row r="93">
          <cell r="F93" t="str">
            <v>Balasto De 2X32 T8</v>
          </cell>
        </row>
        <row r="94">
          <cell r="F94" t="str">
            <v>Cortafrios Aislante De 4 Pulgadas</v>
          </cell>
        </row>
        <row r="95">
          <cell r="F95" t="str">
            <v>Destornillador St (No Utilizar)</v>
          </cell>
        </row>
        <row r="96">
          <cell r="F96" t="str">
            <v>Tiros Hiltin No.1</v>
          </cell>
        </row>
        <row r="97">
          <cell r="F97" t="str">
            <v>Tiros Hiltin No.2</v>
          </cell>
        </row>
        <row r="98">
          <cell r="F98" t="str">
            <v>Tiros Hiltin No.3</v>
          </cell>
        </row>
        <row r="99">
          <cell r="F99" t="str">
            <v>Clavos De 1" Por 3/4 Hiltin</v>
          </cell>
        </row>
        <row r="100">
          <cell r="F100" t="str">
            <v>Pernos De 1/4 Con Tuerca</v>
          </cell>
        </row>
        <row r="101">
          <cell r="F101" t="str">
            <v xml:space="preserve">Pernos De 2 Y 1/2 Millas Con </v>
          </cell>
        </row>
        <row r="102">
          <cell r="F102" t="str">
            <v>Tubos Slim Line De 96W</v>
          </cell>
        </row>
        <row r="103">
          <cell r="F103" t="str">
            <v>Ganzuas</v>
          </cell>
        </row>
        <row r="104">
          <cell r="F104" t="str">
            <v>Remaches</v>
          </cell>
        </row>
        <row r="105">
          <cell r="F105" t="str">
            <v>Remachadora</v>
          </cell>
        </row>
        <row r="106">
          <cell r="F106" t="str">
            <v>Brocas (No Utilizar)</v>
          </cell>
        </row>
        <row r="107">
          <cell r="F107" t="str">
            <v xml:space="preserve">Abrazadera Cremallera De 1/2 </v>
          </cell>
        </row>
        <row r="108">
          <cell r="F108" t="str">
            <v xml:space="preserve">Racor Para Manguera De 1/2 </v>
          </cell>
        </row>
        <row r="109">
          <cell r="F109" t="str">
            <v>Puntilla Con Cabeza De 1/2 Pulgada</v>
          </cell>
        </row>
        <row r="110">
          <cell r="F110" t="str">
            <v>Brocas De 9/64 Pulgadas</v>
          </cell>
        </row>
        <row r="111">
          <cell r="F111" t="str">
            <v xml:space="preserve">Brocas De 1/16 3/8 X 15 Unidades </v>
          </cell>
        </row>
        <row r="112">
          <cell r="F112" t="str">
            <v>Cortafrios Aislante De 6"</v>
          </cell>
        </row>
        <row r="113">
          <cell r="F113" t="str">
            <v>Chazo Plastico De 3/4 (No Utilizar)</v>
          </cell>
        </row>
        <row r="114">
          <cell r="F114" t="str">
            <v>Acoples Para Lavamanos</v>
          </cell>
        </row>
        <row r="115">
          <cell r="F115" t="str">
            <v xml:space="preserve">Bala De Incrustar Bombillo (No </v>
          </cell>
        </row>
        <row r="116">
          <cell r="F116" t="str">
            <v>Cable Para Grabadora Ref.L8-7C</v>
          </cell>
        </row>
        <row r="117">
          <cell r="F117" t="str">
            <v>Acoples Para Microfono Macho</v>
          </cell>
        </row>
        <row r="118">
          <cell r="F118" t="str">
            <v>Soportes Para Microfono</v>
          </cell>
        </row>
        <row r="119">
          <cell r="F119" t="str">
            <v>Portacandado # 4 1/2</v>
          </cell>
        </row>
        <row r="120">
          <cell r="F120" t="str">
            <v>Manija Para Sanitario (No Utilizar)</v>
          </cell>
        </row>
        <row r="121">
          <cell r="F121" t="str">
            <v>Canaleta Plastica De 20X12</v>
          </cell>
        </row>
        <row r="122">
          <cell r="F122" t="str">
            <v>Canaleta Plastica De 30 X12</v>
          </cell>
        </row>
        <row r="123">
          <cell r="F123" t="str">
            <v>Aspiral De 15Mm Paquetex10 Metros</v>
          </cell>
        </row>
        <row r="124">
          <cell r="F124" t="str">
            <v>Aspiral De 9Mm Paquetex10 Metros</v>
          </cell>
        </row>
        <row r="125">
          <cell r="F125" t="str">
            <v>Aspiral De 6Mm Paquete X10 Metros</v>
          </cell>
        </row>
        <row r="126">
          <cell r="F126" t="str">
            <v>Grapas De 5/8-3/4</v>
          </cell>
        </row>
        <row r="127">
          <cell r="F127" t="str">
            <v>Grapas De 1/2</v>
          </cell>
        </row>
        <row r="128">
          <cell r="F128" t="str">
            <v>Tapas Ciegas Octogonal</v>
          </cell>
        </row>
        <row r="129">
          <cell r="F129" t="str">
            <v>Apliques De Brazo Para Bomba</v>
          </cell>
        </row>
        <row r="130">
          <cell r="F130" t="str">
            <v>Balas De Incrustar</v>
          </cell>
        </row>
        <row r="131">
          <cell r="F131" t="str">
            <v>Puntilla De Acero De 1 Pulgada</v>
          </cell>
        </row>
        <row r="132">
          <cell r="F132" t="str">
            <v>Puntilla De Acero De Dos Pulgadas</v>
          </cell>
        </row>
        <row r="133">
          <cell r="F133" t="str">
            <v>Puntilla De Acero De 1 1/2 Pulgada</v>
          </cell>
        </row>
        <row r="134">
          <cell r="F134" t="str">
            <v xml:space="preserve">Cable En Acero De 1/16" </v>
          </cell>
        </row>
        <row r="135">
          <cell r="F135" t="str">
            <v>Bomba Vidrio Opal</v>
          </cell>
        </row>
        <row r="136">
          <cell r="F136" t="str">
            <v>Destornillador Pequeño</v>
          </cell>
        </row>
        <row r="137">
          <cell r="F137" t="str">
            <v>Tubos R.S De 40W (No Utilizar)</v>
          </cell>
        </row>
        <row r="138">
          <cell r="F138" t="str">
            <v>Tubo Fluorescente De 32W</v>
          </cell>
        </row>
        <row r="139">
          <cell r="F139" t="str">
            <v>Tubos T8 32W</v>
          </cell>
        </row>
        <row r="140">
          <cell r="F140" t="str">
            <v>Chazo Plastico 5/16</v>
          </cell>
        </row>
        <row r="141">
          <cell r="F141" t="str">
            <v>Broca 5/16 De Tugsteno</v>
          </cell>
        </row>
        <row r="142">
          <cell r="F142" t="str">
            <v>Broca 5/32 Para Lamina</v>
          </cell>
        </row>
        <row r="143">
          <cell r="F143" t="str">
            <v>Broca 1/8 Para Lamina</v>
          </cell>
        </row>
        <row r="144">
          <cell r="F144" t="str">
            <v>Destornillador De Pala Mediana</v>
          </cell>
        </row>
        <row r="145">
          <cell r="F145" t="str">
            <v xml:space="preserve">Destornillador Electro Recargable </v>
          </cell>
        </row>
        <row r="146">
          <cell r="F146" t="str">
            <v>Ponchadora De Cable Para Rj-45</v>
          </cell>
        </row>
        <row r="147">
          <cell r="F147" t="str">
            <v>Silicona Liquida</v>
          </cell>
        </row>
        <row r="148">
          <cell r="F148" t="str">
            <v xml:space="preserve">Remaches De 1/8 X 5/32 (No </v>
          </cell>
        </row>
        <row r="149">
          <cell r="F149" t="str">
            <v>Tubo Fluorescente Silvania 40W</v>
          </cell>
        </row>
        <row r="150">
          <cell r="F150" t="str">
            <v>Llave Para Lavamanos</v>
          </cell>
        </row>
        <row r="151">
          <cell r="F151" t="str">
            <v xml:space="preserve">Griferia Grival Consta De:Arbol De </v>
          </cell>
        </row>
        <row r="152">
          <cell r="F152" t="str">
            <v>Tapon Hembra Galvanizado 3/8</v>
          </cell>
        </row>
        <row r="153">
          <cell r="F153" t="str">
            <v>Tapon Hembra Galvanizado 1/2</v>
          </cell>
        </row>
        <row r="154">
          <cell r="F154" t="str">
            <v>Tapon Macho Galvanizado 3/8</v>
          </cell>
        </row>
        <row r="155">
          <cell r="F155" t="str">
            <v>Tapon Macho Galvanizado 1/2</v>
          </cell>
        </row>
        <row r="156">
          <cell r="F156" t="str">
            <v>Codo Galvanizado 3/8</v>
          </cell>
        </row>
        <row r="157">
          <cell r="F157" t="str">
            <v>Codo Galvanizado 1/2</v>
          </cell>
        </row>
        <row r="158">
          <cell r="F158" t="str">
            <v xml:space="preserve">Manija Para Descargar Cisterna (No </v>
          </cell>
        </row>
        <row r="159">
          <cell r="F159" t="str">
            <v>Desague Lavamanos</v>
          </cell>
        </row>
        <row r="160">
          <cell r="F160" t="str">
            <v>Desague Lavaplatos</v>
          </cell>
        </row>
        <row r="161">
          <cell r="F161" t="str">
            <v>Broca De Tugsteno 1/4"</v>
          </cell>
        </row>
        <row r="162">
          <cell r="F162" t="str">
            <v>Caladora Pequeña Black And Decker</v>
          </cell>
        </row>
        <row r="163">
          <cell r="F163" t="str">
            <v>Chazo Plastico 1/4" Con Tornillo</v>
          </cell>
        </row>
        <row r="164">
          <cell r="F164" t="str">
            <v>Chazo Plastico De 5/6" Con Tornillo</v>
          </cell>
        </row>
        <row r="165">
          <cell r="F165" t="str">
            <v>Grafito</v>
          </cell>
        </row>
        <row r="166">
          <cell r="F166" t="str">
            <v>Pegante Boxer</v>
          </cell>
        </row>
        <row r="167">
          <cell r="F167" t="str">
            <v>Pernos Con Tuerca Hilti</v>
          </cell>
        </row>
        <row r="168">
          <cell r="F168" t="str">
            <v>Puntilla Para Pistola Hilti</v>
          </cell>
        </row>
        <row r="169">
          <cell r="F169" t="str">
            <v xml:space="preserve">Tiro Para Pistola Dxe72 Hilti </v>
          </cell>
        </row>
        <row r="170">
          <cell r="F170" t="str">
            <v>Tornillo Autoperforante De 1"</v>
          </cell>
        </row>
        <row r="171">
          <cell r="F171" t="str">
            <v>Tubo Circular 22W</v>
          </cell>
        </row>
        <row r="172">
          <cell r="F172" t="str">
            <v>Remaches 1/8 X 1/2"</v>
          </cell>
        </row>
        <row r="173">
          <cell r="F173" t="str">
            <v>Pomada Soldadura De Estaño</v>
          </cell>
        </row>
        <row r="174">
          <cell r="F174" t="str">
            <v>Juego Puntas Para Destornillador</v>
          </cell>
        </row>
        <row r="175">
          <cell r="F175" t="str">
            <v>Soldadura De Estaño 1/32</v>
          </cell>
        </row>
        <row r="176">
          <cell r="F176" t="str">
            <v>Soquet Para Tubo De 32W</v>
          </cell>
        </row>
        <row r="177">
          <cell r="F177" t="str">
            <v>Tubo Doble Sfle 40W Plug</v>
          </cell>
        </row>
        <row r="178">
          <cell r="F178" t="str">
            <v>Remaches 5/32X1"</v>
          </cell>
        </row>
        <row r="179">
          <cell r="F179" t="str">
            <v>Tubo Master Hpi T-Plus 400W</v>
          </cell>
        </row>
        <row r="180">
          <cell r="F180" t="str">
            <v>Puntilla Acero 3/4</v>
          </cell>
        </row>
        <row r="181">
          <cell r="F181" t="str">
            <v>Soporte Metalico Para Televisor</v>
          </cell>
        </row>
        <row r="182">
          <cell r="F182" t="str">
            <v>Sello Grival</v>
          </cell>
        </row>
        <row r="183">
          <cell r="F183" t="str">
            <v>Acople Para Pistola De Agua</v>
          </cell>
        </row>
        <row r="184">
          <cell r="F184" t="str">
            <v>Abrazadera Cremallera 9/16"</v>
          </cell>
        </row>
        <row r="185">
          <cell r="F185" t="str">
            <v>Caja Para Herramientas</v>
          </cell>
        </row>
        <row r="186">
          <cell r="F186" t="str">
            <v>Destornilladores</v>
          </cell>
        </row>
        <row r="187">
          <cell r="F187" t="str">
            <v>Alicate Hombre Solo</v>
          </cell>
        </row>
        <row r="188">
          <cell r="F188" t="str">
            <v>Alicate Electricista</v>
          </cell>
        </row>
        <row r="189">
          <cell r="F189" t="str">
            <v>Cable Para Iniciar Baterias</v>
          </cell>
        </row>
        <row r="190">
          <cell r="F190" t="str">
            <v>Linterna Plastica</v>
          </cell>
        </row>
        <row r="191">
          <cell r="F191" t="str">
            <v>Llave Mixta</v>
          </cell>
        </row>
        <row r="192">
          <cell r="F192" t="str">
            <v>Llave Expansion</v>
          </cell>
        </row>
        <row r="193">
          <cell r="F193" t="str">
            <v>Chaleco Reflectivo</v>
          </cell>
        </row>
        <row r="194">
          <cell r="F194" t="str">
            <v>Cruceta</v>
          </cell>
        </row>
        <row r="195">
          <cell r="F195" t="str">
            <v>Calibrador De Aire</v>
          </cell>
        </row>
        <row r="196">
          <cell r="F196" t="str">
            <v>Pinza De Punta</v>
          </cell>
        </row>
        <row r="197">
          <cell r="F197" t="str">
            <v>Martillo De Uña</v>
          </cell>
        </row>
        <row r="198">
          <cell r="F198" t="str">
            <v>Rachet Extension</v>
          </cell>
        </row>
        <row r="199">
          <cell r="F199" t="str">
            <v xml:space="preserve">Pistola Electrica Grande Para </v>
          </cell>
        </row>
        <row r="200">
          <cell r="F200" t="str">
            <v>Manguera Para Cable De Iluminacion</v>
          </cell>
        </row>
        <row r="201">
          <cell r="F201" t="str">
            <v xml:space="preserve">Pila Para Destornillador Electrico </v>
          </cell>
        </row>
        <row r="202">
          <cell r="F202" t="str">
            <v>Destornillador De Estrella</v>
          </cell>
        </row>
        <row r="203">
          <cell r="F203" t="str">
            <v>Alicate Creset No.8</v>
          </cell>
        </row>
        <row r="204">
          <cell r="F204" t="str">
            <v>Broca De 1/16</v>
          </cell>
        </row>
        <row r="205">
          <cell r="F205" t="str">
            <v>Broca De 3/8</v>
          </cell>
        </row>
        <row r="206">
          <cell r="F206" t="str">
            <v>Tornillo Golozo De Una Pulgada</v>
          </cell>
        </row>
        <row r="207">
          <cell r="F207" t="str">
            <v>Limpiador Electrico Crc</v>
          </cell>
        </row>
        <row r="208">
          <cell r="F208" t="str">
            <v>Marco Para Segueta</v>
          </cell>
        </row>
        <row r="209">
          <cell r="F209" t="str">
            <v xml:space="preserve">Tornillo Aglomerado (Bolsa X 200 </v>
          </cell>
        </row>
        <row r="210">
          <cell r="F210" t="str">
            <v>Broca De Tugsteno 5/32"</v>
          </cell>
        </row>
        <row r="211">
          <cell r="F211" t="str">
            <v>Chazo Expansivo 3/16</v>
          </cell>
        </row>
        <row r="212">
          <cell r="F212" t="str">
            <v>Broca De 1/16 X 3/8</v>
          </cell>
        </row>
        <row r="213">
          <cell r="F213" t="str">
            <v>Chupa Para Vidrio</v>
          </cell>
        </row>
        <row r="214">
          <cell r="F214" t="str">
            <v>Corta Vidrio Punta De Diamante</v>
          </cell>
        </row>
        <row r="215">
          <cell r="F215" t="str">
            <v>Manguera Para Hidrolavadora</v>
          </cell>
        </row>
        <row r="216">
          <cell r="F216" t="str">
            <v>Pernos Para Pistola Hilti 1/14</v>
          </cell>
        </row>
        <row r="217">
          <cell r="F217" t="str">
            <v>Puntilla Para Destornillador Hilti</v>
          </cell>
        </row>
        <row r="218">
          <cell r="F218" t="str">
            <v xml:space="preserve">Soporte Plastico Para Base De </v>
          </cell>
        </row>
        <row r="219">
          <cell r="F219" t="str">
            <v xml:space="preserve">Tiros Para Pistola Hilti Dxe72 (Rojo </v>
          </cell>
        </row>
        <row r="220">
          <cell r="F220" t="str">
            <v>Tornillo Golozo De 4 Pulgadas</v>
          </cell>
        </row>
        <row r="221">
          <cell r="F221" t="str">
            <v>Pinza Para Zuncho</v>
          </cell>
        </row>
        <row r="222">
          <cell r="F222" t="str">
            <v>Pistola Para Silicona</v>
          </cell>
        </row>
        <row r="223">
          <cell r="F223" t="str">
            <v>Manguera Multicolor</v>
          </cell>
        </row>
        <row r="224">
          <cell r="F224" t="str">
            <v>Candado Grande</v>
          </cell>
        </row>
        <row r="225">
          <cell r="F225" t="str">
            <v>Linterna De Pilas</v>
          </cell>
        </row>
        <row r="226">
          <cell r="F226" t="str">
            <v>Bizcocho Para Sanitario</v>
          </cell>
        </row>
        <row r="227">
          <cell r="F227" t="str">
            <v xml:space="preserve">Empaques Para Llave De </v>
          </cell>
        </row>
        <row r="228">
          <cell r="F228" t="str">
            <v>Manguera O Acople Para Sanitario</v>
          </cell>
        </row>
        <row r="229">
          <cell r="F229" t="str">
            <v xml:space="preserve">Chazo De Expansion De 3/8 </v>
          </cell>
        </row>
        <row r="230">
          <cell r="F230" t="str">
            <v xml:space="preserve">Chazo De Expansion De 3/8 X 3 </v>
          </cell>
        </row>
        <row r="231">
          <cell r="F231" t="str">
            <v xml:space="preserve">Empaque O Disco De Caucho Para </v>
          </cell>
        </row>
        <row r="232">
          <cell r="F232" t="str">
            <v>Broca De Tugsteno 1/16 A 3/8"</v>
          </cell>
        </row>
        <row r="233">
          <cell r="F233" t="str">
            <v>Broca De Tugsteno De 1/4"</v>
          </cell>
        </row>
        <row r="234">
          <cell r="F234" t="str">
            <v>Resistencia Haceb Tubular 6"</v>
          </cell>
        </row>
        <row r="235">
          <cell r="F235" t="str">
            <v>Mezclador Griferia Lv</v>
          </cell>
        </row>
        <row r="236">
          <cell r="F236" t="str">
            <v>Lija De Agua N. 100</v>
          </cell>
        </row>
        <row r="237">
          <cell r="F237" t="str">
            <v>Lija De Agua N. 220</v>
          </cell>
        </row>
        <row r="238">
          <cell r="F238" t="str">
            <v>Codo Pvc 1/2"</v>
          </cell>
        </row>
        <row r="239">
          <cell r="F239" t="str">
            <v>Union Pvc De 1/2"</v>
          </cell>
        </row>
        <row r="240">
          <cell r="F240" t="str">
            <v>Tubo Pvc De 3/4</v>
          </cell>
        </row>
        <row r="241">
          <cell r="F241" t="str">
            <v>Codo Pvc 3/4</v>
          </cell>
        </row>
        <row r="242">
          <cell r="F242" t="str">
            <v>Adaptador Macho 1/2 Pvc</v>
          </cell>
        </row>
        <row r="243">
          <cell r="F243" t="str">
            <v>Union Pvc 1/2 (No Utilizar)</v>
          </cell>
        </row>
        <row r="244">
          <cell r="F244" t="str">
            <v>Limpiador Pvc</v>
          </cell>
        </row>
        <row r="245">
          <cell r="F245" t="str">
            <v>Soldadura Pvc</v>
          </cell>
        </row>
        <row r="246">
          <cell r="F246" t="str">
            <v>MATERIALES PARA PLOMERIA</v>
          </cell>
        </row>
        <row r="248">
          <cell r="F248" t="str">
            <v>MATERIALES PARA PLOMERIA</v>
          </cell>
        </row>
        <row r="249">
          <cell r="F249" t="str">
            <v>Griferia Lavamanos</v>
          </cell>
        </row>
        <row r="250">
          <cell r="F250" t="str">
            <v>Soldadura Pvc</v>
          </cell>
        </row>
        <row r="251">
          <cell r="F251" t="str">
            <v>Limpiador Pvc</v>
          </cell>
        </row>
        <row r="252">
          <cell r="F252" t="str">
            <v>MATERIALES PARA INSTALACIONES ELECTRICAS</v>
          </cell>
        </row>
        <row r="254">
          <cell r="F254" t="str">
            <v>Tubo Pvc De 2" X 3 Mts Pavco</v>
          </cell>
        </row>
        <row r="255">
          <cell r="F255" t="str">
            <v>Adaptador Pvc De 2" Pavco</v>
          </cell>
        </row>
        <row r="256">
          <cell r="F256" t="str">
            <v>Codos Pvc De 2" Pavco</v>
          </cell>
        </row>
        <row r="257">
          <cell r="F257" t="str">
            <v xml:space="preserve">MATERIALES PARA </v>
          </cell>
        </row>
        <row r="258">
          <cell r="F258" t="str">
            <v>Cinta Aislante Electrica No. 33</v>
          </cell>
        </row>
        <row r="259">
          <cell r="F259" t="str">
            <v>Tubo Fluorescente Para Sensor</v>
          </cell>
        </row>
        <row r="260">
          <cell r="F260" t="str">
            <v>Bombillo Lectores General Electric</v>
          </cell>
        </row>
        <row r="261">
          <cell r="F261" t="str">
            <v>Fuente De Alimentacion</v>
          </cell>
        </row>
        <row r="262">
          <cell r="F262" t="str">
            <v>Starter Silvania No.S2 (No Utilizar)</v>
          </cell>
        </row>
        <row r="263">
          <cell r="F263" t="str">
            <v>Bombillo Halogenos</v>
          </cell>
        </row>
        <row r="264">
          <cell r="F264" t="str">
            <v xml:space="preserve">Tubos Fluorescentes 500Wx40 (No </v>
          </cell>
        </row>
        <row r="265">
          <cell r="F265" t="str">
            <v>Tacos De 20 Amperios</v>
          </cell>
        </row>
        <row r="266">
          <cell r="F266" t="str">
            <v>Tacos De 50 Amperios</v>
          </cell>
        </row>
        <row r="267">
          <cell r="F267" t="str">
            <v xml:space="preserve">Cable Comunicacion Bocina </v>
          </cell>
        </row>
        <row r="268">
          <cell r="F268" t="str">
            <v>Bombillo A Color De 250W.82V</v>
          </cell>
        </row>
        <row r="269">
          <cell r="F269" t="str">
            <v>Fusible De 250W A 30 Amperios</v>
          </cell>
        </row>
        <row r="270">
          <cell r="F270" t="str">
            <v>Fusible De 250W A 60 Amperios</v>
          </cell>
        </row>
        <row r="271">
          <cell r="F271" t="str">
            <v>Toma Corriente Levinton</v>
          </cell>
        </row>
        <row r="272">
          <cell r="F272" t="str">
            <v>Interruptor Conmutable Sencillo</v>
          </cell>
        </row>
        <row r="273">
          <cell r="F273" t="str">
            <v>Toma Corriente Av Doble Servicio</v>
          </cell>
        </row>
        <row r="274">
          <cell r="F274" t="str">
            <v>Clavija Trifasica</v>
          </cell>
        </row>
        <row r="275">
          <cell r="F275" t="str">
            <v>Interruptor Doble</v>
          </cell>
        </row>
        <row r="276">
          <cell r="F276" t="str">
            <v xml:space="preserve">Toma Corriente Sencillo Formaluz </v>
          </cell>
        </row>
        <row r="277">
          <cell r="F277" t="str">
            <v xml:space="preserve">Toma Corriente Doble Con Polo A </v>
          </cell>
        </row>
        <row r="278">
          <cell r="F278" t="str">
            <v>Toma Corriente Sencillo (No Utilizar)</v>
          </cell>
        </row>
        <row r="279">
          <cell r="F279" t="str">
            <v xml:space="preserve">Toma Corriente Sencillo Con Tapa </v>
          </cell>
        </row>
        <row r="280">
          <cell r="F280" t="str">
            <v>Tubo Circular Fuji 32W</v>
          </cell>
        </row>
        <row r="281">
          <cell r="F281" t="str">
            <v xml:space="preserve">Lampara De 60W Para </v>
          </cell>
        </row>
        <row r="282">
          <cell r="F282" t="str">
            <v>Bombillo De 25 W Color (No Utilizar)</v>
          </cell>
        </row>
        <row r="283">
          <cell r="F283" t="str">
            <v>Cable Para Telefono 4 Metros</v>
          </cell>
        </row>
        <row r="284">
          <cell r="F284" t="str">
            <v>Balasto De 2X40</v>
          </cell>
        </row>
        <row r="285">
          <cell r="F285" t="str">
            <v>Lampara Varta</v>
          </cell>
        </row>
        <row r="286">
          <cell r="F286" t="str">
            <v>Cable De Adbesto No.12</v>
          </cell>
        </row>
        <row r="287">
          <cell r="F287" t="str">
            <v>Fusibles De Botella De 10 Amp</v>
          </cell>
        </row>
        <row r="288">
          <cell r="F288" t="str">
            <v>Fusibles De Botella De 25 Amp</v>
          </cell>
        </row>
        <row r="289">
          <cell r="F289" t="str">
            <v>Fusibles De Botella De 20 Amp</v>
          </cell>
        </row>
        <row r="290">
          <cell r="F290" t="str">
            <v>Fusibles De Botella De 16 Amp</v>
          </cell>
        </row>
        <row r="291">
          <cell r="F291" t="str">
            <v>Fusibles De Botella De 6 Amp</v>
          </cell>
        </row>
        <row r="292">
          <cell r="F292" t="str">
            <v>Fusibles De Botella De 4 Amp</v>
          </cell>
        </row>
        <row r="293">
          <cell r="F293" t="str">
            <v>Fusibles De Botella De 2 Amp</v>
          </cell>
        </row>
        <row r="294">
          <cell r="F294" t="str">
            <v>Fusibles De Canula De 3 Amp</v>
          </cell>
        </row>
        <row r="295">
          <cell r="F295" t="str">
            <v>Fusible De Canula De 5 Amp</v>
          </cell>
        </row>
        <row r="296">
          <cell r="F296" t="str">
            <v>Fusible De Canula De 6 Amp</v>
          </cell>
        </row>
        <row r="297">
          <cell r="F297" t="str">
            <v>Fusibles De Canula De 7 Amp</v>
          </cell>
        </row>
        <row r="298">
          <cell r="F298" t="str">
            <v>Fusibles De Canula De 8 Amp</v>
          </cell>
        </row>
        <row r="299">
          <cell r="F299" t="str">
            <v>Fusibles De Canula De 10 Amp</v>
          </cell>
        </row>
        <row r="300">
          <cell r="F300" t="str">
            <v>Fusibles De Canula De 15 Amp</v>
          </cell>
        </row>
        <row r="301">
          <cell r="F301" t="str">
            <v>Fusibles De Canula De 30 Amp</v>
          </cell>
        </row>
        <row r="302">
          <cell r="F302" t="str">
            <v>Fusibles De Canula De 60 Amp</v>
          </cell>
        </row>
        <row r="303">
          <cell r="F303" t="str">
            <v>Fusibles De Canula De 100 Amp</v>
          </cell>
        </row>
        <row r="304">
          <cell r="F304" t="str">
            <v>Fusibles De Canula De 200 Amp</v>
          </cell>
        </row>
        <row r="305">
          <cell r="F305" t="str">
            <v xml:space="preserve">Interruptor Lampara Multilith - </v>
          </cell>
        </row>
        <row r="306">
          <cell r="F306" t="str">
            <v xml:space="preserve">Interruptor Lamparas Maquinas - </v>
          </cell>
        </row>
        <row r="307">
          <cell r="F307" t="str">
            <v xml:space="preserve">Interruptor Switch Para Maquina </v>
          </cell>
        </row>
        <row r="308">
          <cell r="F308" t="str">
            <v xml:space="preserve">Lampara Halogena Para Quemador </v>
          </cell>
        </row>
        <row r="309">
          <cell r="F309" t="str">
            <v xml:space="preserve">Lampara Halogena Silvania De </v>
          </cell>
        </row>
        <row r="310">
          <cell r="F310" t="str">
            <v xml:space="preserve">Lampara Halogena Silvania De </v>
          </cell>
        </row>
        <row r="311">
          <cell r="F311" t="str">
            <v>Toma Y Clavija De Caucho</v>
          </cell>
        </row>
        <row r="312">
          <cell r="F312" t="str">
            <v>Tapa Ciega 5800</v>
          </cell>
        </row>
        <row r="313">
          <cell r="F313" t="str">
            <v>Contactor Tm9 Amperios Na</v>
          </cell>
        </row>
        <row r="314">
          <cell r="F314" t="str">
            <v>Tubo Fluorescente 40W Luz Dia</v>
          </cell>
        </row>
        <row r="315">
          <cell r="F315" t="str">
            <v xml:space="preserve">Bombillo Dicroico Halogeno 50W </v>
          </cell>
        </row>
        <row r="316">
          <cell r="F316" t="str">
            <v xml:space="preserve">Balasto 2X96W 120V Electrocol (No </v>
          </cell>
        </row>
        <row r="317">
          <cell r="F317" t="str">
            <v xml:space="preserve">Multitoma Supresora De Picos 4 </v>
          </cell>
        </row>
        <row r="318">
          <cell r="F318" t="str">
            <v>Bombillo Halogeno 36V 400W Evd</v>
          </cell>
        </row>
        <row r="319">
          <cell r="F319" t="str">
            <v>Bombillo Halogeno 82 V 360 W Eyb</v>
          </cell>
        </row>
        <row r="320">
          <cell r="F320" t="str">
            <v xml:space="preserve">Bombillos Para Stop De Frenos 12 </v>
          </cell>
        </row>
        <row r="321">
          <cell r="F321" t="str">
            <v>Abrazaderas (220)</v>
          </cell>
        </row>
        <row r="322">
          <cell r="F322" t="str">
            <v>Adaptador P-P 3/8 X 3/8</v>
          </cell>
        </row>
        <row r="323">
          <cell r="F323" t="str">
            <v>Cable De Cobre Thw #8 600V</v>
          </cell>
        </row>
        <row r="324">
          <cell r="F324" t="str">
            <v xml:space="preserve">Cable De Cobre Thw # 8 600V Negro </v>
          </cell>
        </row>
        <row r="325">
          <cell r="F325" t="str">
            <v xml:space="preserve">Cable De Cobre Thw # 8 600V Verde </v>
          </cell>
        </row>
        <row r="326">
          <cell r="F326" t="str">
            <v xml:space="preserve">Taco Industrial De 3X70 Squared </v>
          </cell>
        </row>
        <row r="327">
          <cell r="F327" t="str">
            <v>Caja De Paso Lx 20 X 25 X 10 Cms</v>
          </cell>
        </row>
        <row r="328">
          <cell r="F328" t="str">
            <v xml:space="preserve">Balasto 2 X 96 W 120 V </v>
          </cell>
        </row>
        <row r="329">
          <cell r="F329" t="str">
            <v>Balasto 2 X 48 W 120 V</v>
          </cell>
        </row>
        <row r="330">
          <cell r="F330" t="str">
            <v>Cinta Aislante</v>
          </cell>
        </row>
        <row r="331">
          <cell r="F331" t="str">
            <v xml:space="preserve">Carrete (305 Mts) Cable Utp </v>
          </cell>
        </row>
        <row r="332">
          <cell r="F332" t="str">
            <v>Bombillos</v>
          </cell>
        </row>
        <row r="333">
          <cell r="F333" t="str">
            <v>Bombillo De 150. W A 110 V.</v>
          </cell>
        </row>
        <row r="334">
          <cell r="F334" t="str">
            <v>Cable Encauchetado De 3 X 16</v>
          </cell>
        </row>
        <row r="335">
          <cell r="F335" t="str">
            <v xml:space="preserve">Toma De Sobre Poner De 4 Hilos </v>
          </cell>
        </row>
        <row r="336">
          <cell r="F336" t="str">
            <v>Pila Cuadrada De 9 Vol.</v>
          </cell>
        </row>
        <row r="337">
          <cell r="F337" t="str">
            <v xml:space="preserve">Toma Doble Con Polo A Tierra Con </v>
          </cell>
        </row>
        <row r="338">
          <cell r="F338" t="str">
            <v>Cable Scsi Ii De 50 Pines</v>
          </cell>
        </row>
        <row r="339">
          <cell r="F339" t="str">
            <v>Cable Coaxial Rg59</v>
          </cell>
        </row>
        <row r="340">
          <cell r="F340" t="str">
            <v>Terminal Coaxial De Rosca</v>
          </cell>
        </row>
        <row r="341">
          <cell r="F341" t="str">
            <v>Bobina Para Freno De Ascensor Bov</v>
          </cell>
        </row>
        <row r="342">
          <cell r="F342" t="str">
            <v>Bombillo 20 Wts.</v>
          </cell>
        </row>
        <row r="343">
          <cell r="F343" t="str">
            <v>Cable Encauchetado 3 X 14</v>
          </cell>
        </row>
        <row r="344">
          <cell r="F344" t="str">
            <v>Caja Plastica 5800</v>
          </cell>
        </row>
        <row r="345">
          <cell r="F345" t="str">
            <v>Clavija De Caucho (Macho)</v>
          </cell>
        </row>
        <row r="346">
          <cell r="F346" t="str">
            <v>Toma Hembra (Aerea9 (No Utilizar)</v>
          </cell>
        </row>
        <row r="347">
          <cell r="F347" t="str">
            <v>Cable Paralelo 2 X16</v>
          </cell>
        </row>
        <row r="348">
          <cell r="F348" t="str">
            <v>Interruptores De Timbre</v>
          </cell>
        </row>
        <row r="349">
          <cell r="F349" t="str">
            <v xml:space="preserve">Interruptores Para Bombillo De </v>
          </cell>
        </row>
        <row r="350">
          <cell r="F350" t="str">
            <v xml:space="preserve">Cajas Terminales Para Telefono </v>
          </cell>
        </row>
        <row r="351">
          <cell r="F351" t="str">
            <v>Conectores Rj-11</v>
          </cell>
        </row>
        <row r="352">
          <cell r="F352" t="str">
            <v>Conectores Rj-9</v>
          </cell>
        </row>
        <row r="353">
          <cell r="F353" t="str">
            <v xml:space="preserve">Interruptores Conmutables De 3 </v>
          </cell>
        </row>
        <row r="354">
          <cell r="F354" t="str">
            <v>Bris Telefonico O Puente</v>
          </cell>
        </row>
        <row r="355">
          <cell r="F355" t="str">
            <v xml:space="preserve">Portalamparas En Porcelana Para </v>
          </cell>
        </row>
        <row r="356">
          <cell r="F356" t="str">
            <v>Bombillo Ahorrador De Energia 20W</v>
          </cell>
        </row>
        <row r="357">
          <cell r="F357" t="str">
            <v>Bombillos Proyector Acetatos</v>
          </cell>
        </row>
        <row r="358">
          <cell r="F358" t="str">
            <v xml:space="preserve">Clavija Con Polo A Tierra </v>
          </cell>
        </row>
        <row r="359">
          <cell r="F359" t="str">
            <v>Tubos Rs De 40W</v>
          </cell>
        </row>
        <row r="360">
          <cell r="F360" t="str">
            <v xml:space="preserve">Cable De Monitor De 15 A 15 </v>
          </cell>
        </row>
        <row r="361">
          <cell r="F361" t="str">
            <v>Toma Aerea (No Utilizar)</v>
          </cell>
        </row>
        <row r="362">
          <cell r="F362" t="str">
            <v xml:space="preserve">Lamparas Para Quemador/Insolador </v>
          </cell>
        </row>
        <row r="363">
          <cell r="F363" t="str">
            <v>Cable Encauchetado Para Microfono</v>
          </cell>
        </row>
        <row r="364">
          <cell r="F364" t="str">
            <v>Roseta De Dos Piezas En Loza</v>
          </cell>
        </row>
        <row r="365">
          <cell r="F365" t="str">
            <v>Cable Siliconado #16</v>
          </cell>
        </row>
        <row r="366">
          <cell r="F366" t="str">
            <v>Pila Para Linterna, Tamaño Grande</v>
          </cell>
        </row>
        <row r="367">
          <cell r="F367" t="str">
            <v>Toma Con Polo (No Utilizar)</v>
          </cell>
        </row>
        <row r="368">
          <cell r="F368" t="str">
            <v>Clavija Pata Cerrada</v>
          </cell>
        </row>
        <row r="369">
          <cell r="F369" t="str">
            <v>Toma De 15 Amperios</v>
          </cell>
        </row>
        <row r="370">
          <cell r="F370" t="str">
            <v>Apliques Para Pared</v>
          </cell>
        </row>
        <row r="371">
          <cell r="F371" t="str">
            <v>Balastos De 110 A 12 Voltios</v>
          </cell>
        </row>
        <row r="372">
          <cell r="F372" t="str">
            <v>Sokes Bombillos De 12 Voltios</v>
          </cell>
        </row>
        <row r="373">
          <cell r="F373" t="str">
            <v>Roceta En Pocelana</v>
          </cell>
        </row>
        <row r="374">
          <cell r="F374" t="str">
            <v>Bombillo De 25W</v>
          </cell>
        </row>
        <row r="375">
          <cell r="F375" t="str">
            <v>Portalamparas De Caucho</v>
          </cell>
        </row>
        <row r="376">
          <cell r="F376" t="str">
            <v xml:space="preserve">Fuente De Poder Lampara Halogena </v>
          </cell>
        </row>
        <row r="377">
          <cell r="F377" t="str">
            <v xml:space="preserve">Integrados Electronicos Planta </v>
          </cell>
        </row>
        <row r="378">
          <cell r="F378" t="str">
            <v>Taco Industrial 250 Amp, 240V</v>
          </cell>
        </row>
        <row r="379">
          <cell r="F379" t="str">
            <v>Soket Halogeno 500W</v>
          </cell>
        </row>
        <row r="380">
          <cell r="F380" t="str">
            <v xml:space="preserve">Bombillos Ahorradores De Energia </v>
          </cell>
        </row>
        <row r="381">
          <cell r="F381" t="str">
            <v>Bombillos Tubo Circular De 22W</v>
          </cell>
        </row>
        <row r="382">
          <cell r="F382" t="str">
            <v>Cable Belden 2 Pares</v>
          </cell>
        </row>
        <row r="383">
          <cell r="F383" t="str">
            <v>Cable Belden Nivel 5 4Tp Ref.1583</v>
          </cell>
        </row>
        <row r="384">
          <cell r="F384" t="str">
            <v>Cable Duplex De 2X14</v>
          </cell>
        </row>
        <row r="385">
          <cell r="F385" t="str">
            <v>Cable Resortado Para Telefono</v>
          </cell>
        </row>
        <row r="386">
          <cell r="F386" t="str">
            <v>Cable De Entrada Para Telefono</v>
          </cell>
        </row>
        <row r="387">
          <cell r="F387" t="str">
            <v>Cinta Teflon</v>
          </cell>
        </row>
        <row r="388">
          <cell r="F388" t="str">
            <v>Condensador De 50 Mf</v>
          </cell>
        </row>
        <row r="389">
          <cell r="F389" t="str">
            <v>Arrancadores Paralelos</v>
          </cell>
        </row>
        <row r="390">
          <cell r="F390" t="str">
            <v xml:space="preserve">Breaker De 50 Amp Trifasico </v>
          </cell>
        </row>
        <row r="391">
          <cell r="F391" t="str">
            <v xml:space="preserve">Cable Thw No.8 De Color Negro (No </v>
          </cell>
        </row>
        <row r="392">
          <cell r="F392" t="str">
            <v xml:space="preserve">Cable Thw No.8 Color Verde (No </v>
          </cell>
        </row>
        <row r="393">
          <cell r="F393" t="str">
            <v>Cable Encauchetado 4X10</v>
          </cell>
        </row>
        <row r="394">
          <cell r="F394" t="str">
            <v>Breaker 3X70 Amperios Enchufable</v>
          </cell>
        </row>
        <row r="395">
          <cell r="F395" t="str">
            <v>Breaker De 2X40 Amperios</v>
          </cell>
        </row>
        <row r="396">
          <cell r="F396" t="str">
            <v>Tablero Distribucion 9 Circuitos</v>
          </cell>
        </row>
        <row r="397">
          <cell r="F397" t="str">
            <v>Tablero Distribucion 12 Circuitos</v>
          </cell>
        </row>
        <row r="398">
          <cell r="F398" t="str">
            <v xml:space="preserve">Toma Polo Aislado Nivel Hospitalario </v>
          </cell>
        </row>
        <row r="399">
          <cell r="F399" t="str">
            <v xml:space="preserve">Tublo Fluorescente 2X40W (No </v>
          </cell>
        </row>
        <row r="400">
          <cell r="F400" t="str">
            <v xml:space="preserve">Bombillo Ahorrador De Energia 20W </v>
          </cell>
        </row>
        <row r="401">
          <cell r="F401" t="str">
            <v xml:space="preserve">Clavija Pareja Para Ups De 5Kva 4 </v>
          </cell>
        </row>
        <row r="402">
          <cell r="F402" t="str">
            <v xml:space="preserve">Clavija Hembra Para Ups De 5Kva </v>
          </cell>
        </row>
        <row r="403">
          <cell r="F403" t="str">
            <v>Toma De Incrustar 4X30A</v>
          </cell>
        </row>
        <row r="404">
          <cell r="F404" t="str">
            <v>Cable Paralelo 2X14 Metros</v>
          </cell>
        </row>
        <row r="405">
          <cell r="F405" t="str">
            <v>Soquets Paa Tubo Slim</v>
          </cell>
        </row>
        <row r="406">
          <cell r="F406" t="str">
            <v>Soquets Para Tubo Rs 30</v>
          </cell>
        </row>
        <row r="407">
          <cell r="F407" t="str">
            <v>Bombillo Reflector 110V A 150W</v>
          </cell>
        </row>
        <row r="408">
          <cell r="F408" t="str">
            <v>Cable Telefonico Belden De 4 Pares</v>
          </cell>
        </row>
        <row r="409">
          <cell r="F409" t="str">
            <v>Cable Utp Categoria 5 De 8 Lineas</v>
          </cell>
        </row>
        <row r="410">
          <cell r="F410" t="str">
            <v>Conectores Rj 45</v>
          </cell>
        </row>
        <row r="411">
          <cell r="F411" t="str">
            <v>Balasto 2X32 Electronico</v>
          </cell>
        </row>
        <row r="412">
          <cell r="F412" t="str">
            <v>Interruptor Sencillo Luminex</v>
          </cell>
        </row>
        <row r="413">
          <cell r="F413" t="str">
            <v>Interruptor Para Division En Aluminio</v>
          </cell>
        </row>
        <row r="414">
          <cell r="F414" t="str">
            <v>Starte 20 W (No Utilizar)</v>
          </cell>
        </row>
        <row r="415">
          <cell r="F415" t="str">
            <v>Toma Aerea L630 (No Utilizar)</v>
          </cell>
        </row>
        <row r="416">
          <cell r="F416" t="str">
            <v xml:space="preserve">Pila Para Herramienta Versapack </v>
          </cell>
        </row>
        <row r="417">
          <cell r="F417" t="str">
            <v>Baterias Para Centrales Telefonicas</v>
          </cell>
        </row>
        <row r="418">
          <cell r="F418" t="str">
            <v>Lamparas De Emergencia</v>
          </cell>
        </row>
        <row r="419">
          <cell r="F419" t="str">
            <v xml:space="preserve">Balasto Para Bombillo De 26W A </v>
          </cell>
        </row>
        <row r="420">
          <cell r="F420" t="str">
            <v>Bombillo 12V Halogeno</v>
          </cell>
        </row>
        <row r="421">
          <cell r="F421" t="str">
            <v>Bomba Para Brazo Interperie</v>
          </cell>
        </row>
        <row r="422">
          <cell r="F422" t="str">
            <v>Cable No.4</v>
          </cell>
        </row>
        <row r="423">
          <cell r="F423" t="str">
            <v>Bombillo 26W Plug</v>
          </cell>
        </row>
        <row r="424">
          <cell r="F424" t="str">
            <v>Balastos De 32W</v>
          </cell>
        </row>
        <row r="425">
          <cell r="F425" t="str">
            <v>Cable No.12</v>
          </cell>
        </row>
        <row r="426">
          <cell r="F426" t="str">
            <v xml:space="preserve">Extension Tc4010-50 15 Mts 2X2 </v>
          </cell>
        </row>
        <row r="427">
          <cell r="F427" t="str">
            <v xml:space="preserve">Adaptador(Y) De 1/4 Monofasica A </v>
          </cell>
        </row>
        <row r="428">
          <cell r="F428" t="str">
            <v>Adaptador (Y) Rca Estereo 1/4</v>
          </cell>
        </row>
        <row r="429">
          <cell r="F429" t="str">
            <v>Plug 1/4 Puntada Dorada</v>
          </cell>
        </row>
        <row r="430">
          <cell r="F430" t="str">
            <v xml:space="preserve">Cable Belden Coaxial R659 </v>
          </cell>
        </row>
        <row r="431">
          <cell r="F431" t="str">
            <v>Antena Multibanda Aerea Lpscr</v>
          </cell>
        </row>
        <row r="432">
          <cell r="F432" t="str">
            <v>Terminales Para Rg59</v>
          </cell>
        </row>
        <row r="433">
          <cell r="F433" t="str">
            <v xml:space="preserve">Amplificador De Antena Truep Spick </v>
          </cell>
        </row>
        <row r="434">
          <cell r="F434" t="str">
            <v xml:space="preserve">Pila Para Control Remoto Camioneta </v>
          </cell>
        </row>
        <row r="435">
          <cell r="F435" t="str">
            <v>Integrados Generadores De Tono</v>
          </cell>
        </row>
        <row r="436">
          <cell r="F436" t="str">
            <v>Integrados Regulador</v>
          </cell>
        </row>
        <row r="437">
          <cell r="F437" t="str">
            <v xml:space="preserve">Integrados 12 Dc Alimentador De </v>
          </cell>
        </row>
        <row r="438">
          <cell r="F438" t="str">
            <v>Integrados Generador De Tono</v>
          </cell>
        </row>
        <row r="439">
          <cell r="F439" t="str">
            <v xml:space="preserve">Integrados Enrutadores Para Tarjeta </v>
          </cell>
        </row>
        <row r="440">
          <cell r="F440" t="str">
            <v>Cable Encauchetado 2X16</v>
          </cell>
        </row>
        <row r="441">
          <cell r="F441" t="str">
            <v>Cable Microfono Monofonico</v>
          </cell>
        </row>
        <row r="442">
          <cell r="F442" t="str">
            <v>Terminal Para Microfono</v>
          </cell>
        </row>
        <row r="443">
          <cell r="F443" t="str">
            <v xml:space="preserve">Pila Sony Lr-23A (Para Control </v>
          </cell>
        </row>
        <row r="444">
          <cell r="F444" t="str">
            <v>Timbre</v>
          </cell>
        </row>
        <row r="445">
          <cell r="F445" t="str">
            <v>Bombillo De 60W</v>
          </cell>
        </row>
        <row r="446">
          <cell r="F446" t="str">
            <v xml:space="preserve">Bombillo Halogeno 12W 60 W Para </v>
          </cell>
        </row>
        <row r="447">
          <cell r="F447" t="str">
            <v>Cable Duplex 2 X 16</v>
          </cell>
        </row>
        <row r="448">
          <cell r="F448" t="str">
            <v>Pila Para Telefono Inhalambrico</v>
          </cell>
        </row>
        <row r="449">
          <cell r="F449" t="str">
            <v>Clavija 110V En Caucho</v>
          </cell>
        </row>
        <row r="450">
          <cell r="F450" t="str">
            <v>Resistencia Haceb 220 V.</v>
          </cell>
        </row>
        <row r="451">
          <cell r="F451" t="str">
            <v>Cable Para Video Beam Apc</v>
          </cell>
        </row>
        <row r="452">
          <cell r="F452" t="str">
            <v>Bombillo Ahorrador 20W</v>
          </cell>
        </row>
        <row r="453">
          <cell r="F453" t="str">
            <v>Bombillo 42W Ek 300</v>
          </cell>
        </row>
        <row r="454">
          <cell r="F454" t="str">
            <v xml:space="preserve">Bombillo Ahorrador Dicrodico 11-9W </v>
          </cell>
        </row>
        <row r="455">
          <cell r="F455" t="str">
            <v>Socket Para Bombillo Dicrodico</v>
          </cell>
        </row>
        <row r="456">
          <cell r="F456" t="str">
            <v>Troquel Para Toma Corriente</v>
          </cell>
        </row>
        <row r="457">
          <cell r="F457" t="str">
            <v xml:space="preserve">Toma Corriente Doble Con Polo A </v>
          </cell>
        </row>
        <row r="458">
          <cell r="F458" t="str">
            <v>Cable Encauchetado 3X12</v>
          </cell>
        </row>
        <row r="459">
          <cell r="F459" t="str">
            <v xml:space="preserve">Aplique Ap-04 Inclinado De Pared </v>
          </cell>
        </row>
        <row r="460">
          <cell r="F460" t="str">
            <v xml:space="preserve">Bala Optimus 1X26 S/Poner Color </v>
          </cell>
        </row>
        <row r="461">
          <cell r="F461" t="str">
            <v>Lampara Tipo Riel</v>
          </cell>
        </row>
        <row r="462">
          <cell r="F462" t="str">
            <v xml:space="preserve">Optimus Multif.16 Cel Especular </v>
          </cell>
        </row>
        <row r="463">
          <cell r="F463" t="str">
            <v xml:space="preserve">Optimus Multifuncional 30*120 </v>
          </cell>
        </row>
        <row r="464">
          <cell r="F464" t="str">
            <v>Tapa Troquel 12 Cms Negro</v>
          </cell>
        </row>
        <row r="465">
          <cell r="F465" t="str">
            <v>Interruptor Sencillo Aereo</v>
          </cell>
        </row>
        <row r="466">
          <cell r="F466" t="str">
            <v xml:space="preserve">Lamina De Cobre 1/8 De 50 Cm X 2 </v>
          </cell>
        </row>
        <row r="467">
          <cell r="F467" t="str">
            <v>Breaker Trifasico 125 Amp.</v>
          </cell>
        </row>
        <row r="468">
          <cell r="F468" t="str">
            <v>Balasto De 4X32</v>
          </cell>
        </row>
        <row r="469">
          <cell r="F469" t="str">
            <v>Sokets Para Bombillo Dicroica</v>
          </cell>
        </row>
        <row r="470">
          <cell r="F470" t="str">
            <v xml:space="preserve">Adaptador 110 V Para Antena Rf </v>
          </cell>
        </row>
        <row r="471">
          <cell r="F471" t="str">
            <v>Aplique Ap04-1X20 Blanco</v>
          </cell>
        </row>
        <row r="472">
          <cell r="F472" t="str">
            <v>Aplique Tortuga</v>
          </cell>
        </row>
        <row r="473">
          <cell r="F473" t="str">
            <v xml:space="preserve">Campana Policarbonato 22" Con </v>
          </cell>
        </row>
        <row r="474">
          <cell r="F474" t="str">
            <v xml:space="preserve">Chasis Bala Optimus S/Poner </v>
          </cell>
        </row>
        <row r="475">
          <cell r="F475" t="str">
            <v xml:space="preserve">Optimus 60X60-3X17W-12 Celdas </v>
          </cell>
        </row>
        <row r="476">
          <cell r="F476" t="str">
            <v xml:space="preserve">Optimus Multifuncional 1X32W </v>
          </cell>
        </row>
        <row r="477">
          <cell r="F477" t="str">
            <v xml:space="preserve">Optimus Multifuncional 30*120 </v>
          </cell>
        </row>
        <row r="478">
          <cell r="F478" t="str">
            <v xml:space="preserve">Optimus Multifuncional 60*60 </v>
          </cell>
        </row>
        <row r="479">
          <cell r="F479" t="str">
            <v>Instalacion De 100 Bombillos</v>
          </cell>
        </row>
        <row r="480">
          <cell r="F480" t="str">
            <v xml:space="preserve">Cable Con Terminacion En Conector </v>
          </cell>
        </row>
        <row r="481">
          <cell r="F481" t="str">
            <v xml:space="preserve">Extension Usb De 5 Metros Con </v>
          </cell>
        </row>
        <row r="482">
          <cell r="F482" t="str">
            <v>Cable Usm 1.8 Mrs</v>
          </cell>
        </row>
        <row r="483">
          <cell r="F483" t="str">
            <v>Manguera Luminosa Canadiense</v>
          </cell>
        </row>
        <row r="484">
          <cell r="F484" t="str">
            <v xml:space="preserve">Cinta Aislante Color </v>
          </cell>
        </row>
        <row r="485">
          <cell r="F485" t="str">
            <v xml:space="preserve">Fuentes De Poder (Dell Optiplex Gx </v>
          </cell>
        </row>
        <row r="486">
          <cell r="F486" t="str">
            <v xml:space="preserve">Fuentes De Poder Para (Hp </v>
          </cell>
        </row>
        <row r="487">
          <cell r="F487" t="str">
            <v xml:space="preserve">Baterias Para Radio De </v>
          </cell>
        </row>
        <row r="488">
          <cell r="F488" t="str">
            <v>Balasto De 2*54W</v>
          </cell>
        </row>
        <row r="489">
          <cell r="F489" t="str">
            <v>Tubo Fluorescente De 54W</v>
          </cell>
        </row>
        <row r="490">
          <cell r="F490" t="str">
            <v>Tubo Fluorescente De 20W</v>
          </cell>
        </row>
        <row r="491">
          <cell r="F491" t="str">
            <v>Bombillo En Forma De U De 13W</v>
          </cell>
        </row>
        <row r="492">
          <cell r="F492" t="str">
            <v xml:space="preserve">Extension Vga Video Beam M-M 10 </v>
          </cell>
        </row>
        <row r="493">
          <cell r="F493" t="str">
            <v>Rejilla 4X3 Metalica</v>
          </cell>
        </row>
        <row r="494">
          <cell r="F494" t="str">
            <v>Conectores Rj 45.</v>
          </cell>
        </row>
        <row r="495">
          <cell r="F495" t="str">
            <v>MATERIALES PARA INSTALACIONES DE GAS</v>
          </cell>
        </row>
        <row r="497">
          <cell r="F497" t="str">
            <v xml:space="preserve">MATERIALES PARA </v>
          </cell>
        </row>
        <row r="499">
          <cell r="F499" t="str">
            <v>FINANCIEROS</v>
          </cell>
        </row>
        <row r="500">
          <cell r="F500" t="str">
            <v>MATERIALES PARA IMPERMEABILIZACION</v>
          </cell>
        </row>
        <row r="502">
          <cell r="F502" t="str">
            <v xml:space="preserve">MATERIALES PARA </v>
          </cell>
        </row>
        <row r="503">
          <cell r="F503" t="str">
            <v>ORNAMENTACION, ACABADOS Y DECORACION</v>
          </cell>
        </row>
        <row r="505">
          <cell r="F505" t="str">
            <v xml:space="preserve">ORNAMENTACION, ACABADOS Y </v>
          </cell>
        </row>
        <row r="506">
          <cell r="F506" t="str">
            <v>Brochas De 1/2"</v>
          </cell>
        </row>
        <row r="507">
          <cell r="F507" t="str">
            <v>Brochas De 2"</v>
          </cell>
        </row>
        <row r="508">
          <cell r="F508" t="str">
            <v>Brocha De 3"</v>
          </cell>
        </row>
        <row r="509">
          <cell r="F509" t="str">
            <v>Brocha En Nylon Grande</v>
          </cell>
        </row>
        <row r="510">
          <cell r="F510" t="str">
            <v>Brocha En Nylon Pequeña</v>
          </cell>
        </row>
        <row r="511">
          <cell r="F511" t="str">
            <v>Rodillo</v>
          </cell>
        </row>
        <row r="512">
          <cell r="F512" t="str">
            <v xml:space="preserve">Rodillo De Recoleccion Y Captura </v>
          </cell>
        </row>
        <row r="513">
          <cell r="F513" t="str">
            <v xml:space="preserve">Vidrio De 10Mm Templado Bronce </v>
          </cell>
        </row>
        <row r="514">
          <cell r="F514" t="str">
            <v xml:space="preserve">Vidrio Bronce De 6Mm De 0,71 X </v>
          </cell>
        </row>
        <row r="515">
          <cell r="F515" t="str">
            <v>Vidrio De 180 X 70 X 5 Mm (Puerta)</v>
          </cell>
        </row>
        <row r="516">
          <cell r="F516" t="str">
            <v xml:space="preserve">Vidrio En 6Mm Calidad Cristal </v>
          </cell>
        </row>
        <row r="517">
          <cell r="F517" t="str">
            <v xml:space="preserve">Vidrios En 6Mm Calidad Cristal </v>
          </cell>
        </row>
        <row r="518">
          <cell r="F518" t="str">
            <v xml:space="preserve">Vidrios En 6Mm Calidad Cristal </v>
          </cell>
        </row>
        <row r="519">
          <cell r="F519" t="str">
            <v xml:space="preserve">Vidrios Em 6 Mm Calidad Cristal </v>
          </cell>
        </row>
        <row r="520">
          <cell r="F520" t="str">
            <v xml:space="preserve">Vidrios En 6Mm Calidad Cristal </v>
          </cell>
        </row>
        <row r="521">
          <cell r="F521" t="str">
            <v xml:space="preserve">Vidrios En 6Mm Calidad Cristal </v>
          </cell>
        </row>
        <row r="522">
          <cell r="F522" t="str">
            <v xml:space="preserve">Vidrios En 6Mm Calidad Cristal </v>
          </cell>
        </row>
        <row r="523">
          <cell r="F523" t="str">
            <v xml:space="preserve">Vidrios En 6Mm Calidad Cristal </v>
          </cell>
        </row>
        <row r="524">
          <cell r="F524" t="str">
            <v xml:space="preserve">Vidrios En 6 Mm Calidad Cristal </v>
          </cell>
        </row>
        <row r="525">
          <cell r="F525" t="str">
            <v xml:space="preserve">Vidrios En 6 Mm Calidad Cristal </v>
          </cell>
        </row>
        <row r="526">
          <cell r="F526" t="str">
            <v xml:space="preserve">Vidrios En 6Mm Calidad Cristal </v>
          </cell>
        </row>
        <row r="527">
          <cell r="F527" t="str">
            <v xml:space="preserve">Mesa De Juntas Compuesto De Dos </v>
          </cell>
        </row>
        <row r="528">
          <cell r="F528" t="str">
            <v xml:space="preserve">Vidrios En 6 Mm Calidad Cristal </v>
          </cell>
        </row>
        <row r="529">
          <cell r="F529" t="str">
            <v xml:space="preserve">Vidrios En 6Mm Calidad Cristal </v>
          </cell>
        </row>
        <row r="530">
          <cell r="F530" t="str">
            <v>Vidrio 73X42X4, Pulido</v>
          </cell>
        </row>
        <row r="531">
          <cell r="F531" t="str">
            <v xml:space="preserve">Vidrio De 8 Mm, Laminado, </v>
          </cell>
        </row>
        <row r="532">
          <cell r="F532" t="str">
            <v xml:space="preserve">Vidrios En 5Mm Pulidos Incoloro </v>
          </cell>
        </row>
        <row r="533">
          <cell r="F533" t="str">
            <v xml:space="preserve">Vidrios En 5Mm Pulidos Incoloro 1 </v>
          </cell>
        </row>
        <row r="534">
          <cell r="F534" t="str">
            <v xml:space="preserve">Vidrio Nacional Transparente O </v>
          </cell>
        </row>
        <row r="535">
          <cell r="F535" t="str">
            <v>Pintura En Vinilo</v>
          </cell>
        </row>
        <row r="536">
          <cell r="F536" t="str">
            <v>Pintura Esmalte</v>
          </cell>
        </row>
        <row r="537">
          <cell r="F537" t="str">
            <v>Viniltex</v>
          </cell>
        </row>
        <row r="538">
          <cell r="F538" t="str">
            <v>Vinilo Color Blanco</v>
          </cell>
        </row>
        <row r="539">
          <cell r="F539" t="str">
            <v>Vinilo Color Negro</v>
          </cell>
        </row>
        <row r="540">
          <cell r="F540" t="str">
            <v>Vinilo Color Amarillo</v>
          </cell>
        </row>
        <row r="541">
          <cell r="F541" t="str">
            <v>Vinilo Color Azul</v>
          </cell>
        </row>
        <row r="542">
          <cell r="F542" t="str">
            <v>Vinilo Color Rojo</v>
          </cell>
        </row>
        <row r="543">
          <cell r="F543" t="str">
            <v>Vinilo Rojo 2</v>
          </cell>
        </row>
        <row r="544">
          <cell r="F544" t="str">
            <v>Gabinete De Baño</v>
          </cell>
        </row>
        <row r="545">
          <cell r="F545" t="str">
            <v>Canaleta Metalica Negra 10X5</v>
          </cell>
        </row>
        <row r="546">
          <cell r="F546" t="str">
            <v xml:space="preserve">Materas De Barro Con Base En </v>
          </cell>
        </row>
        <row r="547">
          <cell r="F547" t="str">
            <v>ARTICULOS DE PAPELERIA 16%</v>
          </cell>
        </row>
        <row r="549">
          <cell r="F549" t="str">
            <v xml:space="preserve">PAPELERIA, UTILES DE </v>
          </cell>
        </row>
        <row r="550">
          <cell r="F550" t="str">
            <v>ARTICULOS DE PAPELERIA</v>
          </cell>
        </row>
        <row r="551">
          <cell r="F551" t="str">
            <v>Carton Cartulina Durex De 70X100</v>
          </cell>
        </row>
        <row r="552">
          <cell r="F552" t="str">
            <v>Carton Cartulina Kraft De 70X100</v>
          </cell>
        </row>
        <row r="553">
          <cell r="F553" t="str">
            <v xml:space="preserve">Cartulina Bristol 160 Gramos 70X100 </v>
          </cell>
        </row>
        <row r="554">
          <cell r="F554" t="str">
            <v xml:space="preserve">Cartulina Bristol 160 Gramos 70X100 </v>
          </cell>
        </row>
        <row r="555">
          <cell r="F555" t="str">
            <v xml:space="preserve">Cartulina Bristol 160 Gramos 70X100 </v>
          </cell>
        </row>
        <row r="556">
          <cell r="F556" t="str">
            <v xml:space="preserve">Cartulina Bristol 160 Gramos 70X100 </v>
          </cell>
        </row>
        <row r="557">
          <cell r="F557" t="str">
            <v>Cartulina Bristol Blanca De 70X100</v>
          </cell>
        </row>
        <row r="558">
          <cell r="F558" t="str">
            <v xml:space="preserve">Cartulina Bristol Blanca De 70X100 </v>
          </cell>
        </row>
        <row r="559">
          <cell r="F559" t="str">
            <v>Cartulina Lino De 70X100</v>
          </cell>
        </row>
        <row r="560">
          <cell r="F560" t="str">
            <v xml:space="preserve">Cartulina Opalina 180 Grs De </v>
          </cell>
        </row>
        <row r="561">
          <cell r="F561" t="str">
            <v xml:space="preserve">Dynapos Etiquetas Blancas Ref:4X4 </v>
          </cell>
        </row>
        <row r="562">
          <cell r="F562" t="str">
            <v>Etiqueta Adhesiva X1134</v>
          </cell>
        </row>
        <row r="563">
          <cell r="F563" t="str">
            <v xml:space="preserve">Etiqueta Papel Trasferencia </v>
          </cell>
        </row>
        <row r="564">
          <cell r="F564" t="str">
            <v xml:space="preserve">Etiqueta Para Codigo De Barras </v>
          </cell>
        </row>
        <row r="565">
          <cell r="F565" t="str">
            <v xml:space="preserve">Etiqueta Para Placas Codigo De </v>
          </cell>
        </row>
        <row r="566">
          <cell r="F566" t="str">
            <v xml:space="preserve">Etiqueta Polipropileno De 5.0 X 2.5 </v>
          </cell>
        </row>
        <row r="567">
          <cell r="F567" t="str">
            <v xml:space="preserve">Etiqueta Transferencia Termina </v>
          </cell>
        </row>
        <row r="568">
          <cell r="F568" t="str">
            <v xml:space="preserve">Etiquetas Blancas Dynapos Rf 4X4 </v>
          </cell>
        </row>
        <row r="569">
          <cell r="F569" t="str">
            <v xml:space="preserve">Etiquetas Impresas Polipropileno 5.0 </v>
          </cell>
        </row>
        <row r="570">
          <cell r="F570" t="str">
            <v>Master Para Duplicador Gestetner</v>
          </cell>
        </row>
        <row r="571">
          <cell r="F571" t="str">
            <v>Minirollo Contac Transparente</v>
          </cell>
        </row>
        <row r="572">
          <cell r="F572" t="str">
            <v>Numeros Adhesivos Del 0-9X1000</v>
          </cell>
        </row>
        <row r="573">
          <cell r="F573" t="str">
            <v xml:space="preserve">Papel (Pelicula)Fax Panasonic </v>
          </cell>
        </row>
        <row r="574">
          <cell r="F574" t="str">
            <v>Papel Bond 115 Grs De 70X100</v>
          </cell>
        </row>
        <row r="575">
          <cell r="F575" t="str">
            <v xml:space="preserve">Papel Bond 75 Gramos Scribe Carta </v>
          </cell>
        </row>
        <row r="576">
          <cell r="F576" t="str">
            <v xml:space="preserve">Papel Bond 75 Grs 70X100 (Proceso </v>
          </cell>
        </row>
        <row r="577">
          <cell r="F577" t="str">
            <v>Papel Bond 75 Grs De 70X100</v>
          </cell>
        </row>
        <row r="578">
          <cell r="F578" t="str">
            <v>Papel Bond 75Grs 70X100 Resmas</v>
          </cell>
        </row>
        <row r="579">
          <cell r="F579" t="str">
            <v xml:space="preserve">Papel Bond 90 Gramos Tamaño </v>
          </cell>
        </row>
        <row r="580">
          <cell r="F580" t="str">
            <v>Papel Bond 90 Grs De 70X100</v>
          </cell>
        </row>
        <row r="581">
          <cell r="F581" t="str">
            <v>Papel Bond Beige 90 Grs De 70X100</v>
          </cell>
        </row>
        <row r="582">
          <cell r="F582" t="str">
            <v xml:space="preserve">Papel Bond Blanco 90 Gr 70X100 </v>
          </cell>
        </row>
        <row r="583">
          <cell r="F583" t="str">
            <v xml:space="preserve">Papel Bond Blanco Carta (75 </v>
          </cell>
        </row>
        <row r="584">
          <cell r="F584" t="str">
            <v xml:space="preserve">Papel Bond Blanco Oficio (75 </v>
          </cell>
        </row>
        <row r="585">
          <cell r="F585" t="str">
            <v xml:space="preserve">Papel Bond De 90 Grs 70X100 Cms </v>
          </cell>
        </row>
        <row r="586">
          <cell r="F586" t="str">
            <v xml:space="preserve">Papel Bond Tamaño Carta 60 </v>
          </cell>
        </row>
        <row r="587">
          <cell r="F587" t="str">
            <v xml:space="preserve">Papel Bond Tamaño Oficio 6O </v>
          </cell>
        </row>
        <row r="588">
          <cell r="F588" t="str">
            <v>Papel Canson 160 Grs De 50X65</v>
          </cell>
        </row>
        <row r="589">
          <cell r="F589" t="str">
            <v>Papel Carbon Tamaño Carta</v>
          </cell>
        </row>
        <row r="590">
          <cell r="F590" t="str">
            <v>Papel Carbon Tamaño Oficio</v>
          </cell>
        </row>
        <row r="591">
          <cell r="F591" t="str">
            <v>Papel Contac</v>
          </cell>
        </row>
        <row r="592">
          <cell r="F592" t="str">
            <v>Papel Difusor</v>
          </cell>
        </row>
        <row r="593">
          <cell r="F593" t="str">
            <v xml:space="preserve">Papel Dispacopia Carta 75 Gramos </v>
          </cell>
        </row>
        <row r="594">
          <cell r="F594" t="str">
            <v xml:space="preserve">Papel Dispacopia Oficio, 75 Gramos </v>
          </cell>
        </row>
        <row r="595">
          <cell r="F595" t="str">
            <v xml:space="preserve">Papel Esmaltado Adhesivo De 175 </v>
          </cell>
        </row>
        <row r="596">
          <cell r="F596" t="str">
            <v xml:space="preserve">Papel Fotografico Kodak- Paquete X </v>
          </cell>
        </row>
        <row r="597">
          <cell r="F597" t="str">
            <v xml:space="preserve">Papel Geller Mate 190 Grs De </v>
          </cell>
        </row>
        <row r="598">
          <cell r="F598" t="str">
            <v>Papel Iris Tamaño Carta Cromacolor</v>
          </cell>
        </row>
        <row r="599">
          <cell r="F599" t="str">
            <v xml:space="preserve">Papel Kimberli Y Marfil Terrazo De </v>
          </cell>
        </row>
        <row r="600">
          <cell r="F600" t="str">
            <v>Papel Kimberly 180 Gramos Marfil</v>
          </cell>
        </row>
        <row r="601">
          <cell r="F601" t="str">
            <v xml:space="preserve">Papel Kimberly Blanco Granito 90 </v>
          </cell>
        </row>
        <row r="602">
          <cell r="F602" t="str">
            <v xml:space="preserve">Papel Kimberly Blanco Intenso 180 </v>
          </cell>
        </row>
        <row r="603">
          <cell r="F603" t="str">
            <v xml:space="preserve">Papel Kimberly Blanco Intenso 90 </v>
          </cell>
        </row>
        <row r="604">
          <cell r="F604" t="str">
            <v xml:space="preserve">Papel Kimberly Blanco Prestige,180 </v>
          </cell>
        </row>
        <row r="605">
          <cell r="F605" t="str">
            <v xml:space="preserve">Papel Kimberly Carta Tono Sahara </v>
          </cell>
        </row>
        <row r="606">
          <cell r="F606" t="str">
            <v xml:space="preserve">Papel Kimberly Gris Perla 180 Grs </v>
          </cell>
        </row>
        <row r="607">
          <cell r="F607" t="str">
            <v xml:space="preserve">Papel Kimberly Marfil Terrazo 90 Grs </v>
          </cell>
        </row>
        <row r="608">
          <cell r="F608" t="str">
            <v>Papel Kraft 24X8</v>
          </cell>
        </row>
        <row r="609">
          <cell r="F609" t="str">
            <v>Papel Kraft 60 Grs De 70X100</v>
          </cell>
        </row>
        <row r="610">
          <cell r="F610" t="str">
            <v>Papel Kraft 90 Grs De 70X100</v>
          </cell>
        </row>
        <row r="611">
          <cell r="F611" t="str">
            <v>Papel Kraft Para Envolver</v>
          </cell>
        </row>
        <row r="612">
          <cell r="F612" t="str">
            <v xml:space="preserve">Papel Legancy Blanco Diamante 120 </v>
          </cell>
        </row>
        <row r="613">
          <cell r="F613" t="str">
            <v>Papel Manifold Amarillo De 70X100</v>
          </cell>
        </row>
        <row r="614">
          <cell r="F614" t="str">
            <v>Papel Manifold Azul De 70X100</v>
          </cell>
        </row>
        <row r="615">
          <cell r="F615" t="str">
            <v>Papel Manifold Blanco De 70X100</v>
          </cell>
        </row>
        <row r="616">
          <cell r="F616" t="str">
            <v>Papel Manifold Rosado De 70X100</v>
          </cell>
        </row>
        <row r="617">
          <cell r="F617" t="str">
            <v>Papel Manifold Verde De 70X100</v>
          </cell>
        </row>
        <row r="618">
          <cell r="F618" t="str">
            <v xml:space="preserve">Papel Manila - Ledger 120 Grs De </v>
          </cell>
        </row>
        <row r="619">
          <cell r="F619" t="str">
            <v>Papel Mantequilla De 70X100</v>
          </cell>
        </row>
        <row r="620">
          <cell r="F620" t="str">
            <v>Papel Master Duplicadora Gestetner</v>
          </cell>
        </row>
        <row r="621">
          <cell r="F621" t="str">
            <v>Papel Oficio Plegado Cuadriculado</v>
          </cell>
        </row>
        <row r="622">
          <cell r="F622" t="str">
            <v xml:space="preserve">Papel Par Fax 210X50 Metros (No </v>
          </cell>
        </row>
        <row r="623">
          <cell r="F623" t="str">
            <v>Papel Para Fax 216X30</v>
          </cell>
        </row>
        <row r="624">
          <cell r="F624" t="str">
            <v>Papel Para Fax 7017</v>
          </cell>
        </row>
        <row r="625">
          <cell r="F625" t="str">
            <v xml:space="preserve">Papel Para Fax Norma Rollo X 30 </v>
          </cell>
        </row>
        <row r="626">
          <cell r="F626" t="str">
            <v xml:space="preserve">Papel Para Fax Panasonic Ref. </v>
          </cell>
        </row>
        <row r="627">
          <cell r="F627" t="str">
            <v xml:space="preserve">Papel Pergamino 90 Gramos De </v>
          </cell>
        </row>
        <row r="628">
          <cell r="F628" t="str">
            <v>Papel Periodico 70X100 En Resma</v>
          </cell>
        </row>
        <row r="629">
          <cell r="F629" t="str">
            <v>Papel Periodico Carta</v>
          </cell>
        </row>
        <row r="630">
          <cell r="F630" t="str">
            <v>Papel Periodico De 70X100</v>
          </cell>
        </row>
        <row r="631">
          <cell r="F631" t="str">
            <v xml:space="preserve">Papel Propal Arte Lino 200 Grs De </v>
          </cell>
        </row>
        <row r="632">
          <cell r="F632" t="str">
            <v>Papel Propalcote 250 Grs De 70X100</v>
          </cell>
        </row>
        <row r="633">
          <cell r="F633" t="str">
            <v xml:space="preserve">Papel Propalcote Adhesivo 175 Gr </v>
          </cell>
        </row>
        <row r="634">
          <cell r="F634" t="str">
            <v xml:space="preserve">Papel Propalcote Adhesivo </v>
          </cell>
        </row>
        <row r="635">
          <cell r="F635" t="str">
            <v xml:space="preserve">Papel Propalcote C1S 90 Grs De </v>
          </cell>
        </row>
        <row r="636">
          <cell r="F636" t="str">
            <v xml:space="preserve">Papel Propalcote C2S 115 Gramos </v>
          </cell>
        </row>
        <row r="637">
          <cell r="F637" t="str">
            <v xml:space="preserve">Papel Propalcote C2S 115 Grs De </v>
          </cell>
        </row>
        <row r="638">
          <cell r="F638" t="str">
            <v xml:space="preserve">Papel Propalcote C2S 150 Grs De </v>
          </cell>
        </row>
        <row r="639">
          <cell r="F639" t="str">
            <v xml:space="preserve">Papel Propalcote C2S 200 Grs De </v>
          </cell>
        </row>
        <row r="640">
          <cell r="F640" t="str">
            <v xml:space="preserve">Papel Propalcote C2S 240 Grs De </v>
          </cell>
        </row>
        <row r="641">
          <cell r="F641" t="str">
            <v xml:space="preserve">Papel Propalcote C2S 240 Grs De </v>
          </cell>
        </row>
        <row r="642">
          <cell r="F642" t="str">
            <v xml:space="preserve">Papel Propalcote C2S 90 Grs </v>
          </cell>
        </row>
        <row r="643">
          <cell r="F643" t="str">
            <v xml:space="preserve">Papel Propalcote C2S 90 Grs De </v>
          </cell>
        </row>
        <row r="644">
          <cell r="F644" t="str">
            <v xml:space="preserve">Papel Propalcote C2S,90 Gramos </v>
          </cell>
        </row>
        <row r="645">
          <cell r="F645" t="str">
            <v xml:space="preserve">Papel Propalcote Esmaltado </v>
          </cell>
        </row>
        <row r="646">
          <cell r="F646" t="str">
            <v xml:space="preserve">Papel Propalibro Beige 70 Grs De </v>
          </cell>
        </row>
        <row r="647">
          <cell r="F647" t="str">
            <v xml:space="preserve">Papel Propalibro Blanco 70 Grs De </v>
          </cell>
        </row>
        <row r="648">
          <cell r="F648" t="str">
            <v xml:space="preserve">Papel Propalibros Blanco 70 </v>
          </cell>
        </row>
        <row r="649">
          <cell r="F649" t="str">
            <v xml:space="preserve">Papel Propalmate 115 Grs De </v>
          </cell>
        </row>
        <row r="650">
          <cell r="F650" t="str">
            <v xml:space="preserve">Papel Propalmate 150 Grs De </v>
          </cell>
        </row>
        <row r="651">
          <cell r="F651" t="str">
            <v xml:space="preserve">Papel Propalmate 210 Grs De </v>
          </cell>
        </row>
        <row r="652">
          <cell r="F652" t="str">
            <v xml:space="preserve">Papel Propalmate 90 Grs 70X100 </v>
          </cell>
        </row>
        <row r="653">
          <cell r="F653" t="str">
            <v>Papel Propalmate 90 Grs De 70X100</v>
          </cell>
        </row>
        <row r="654">
          <cell r="F654" t="str">
            <v xml:space="preserve">Papel Propalmate C2S 240 Gr De 70 </v>
          </cell>
        </row>
        <row r="655">
          <cell r="F655" t="str">
            <v xml:space="preserve">Papel Propalmate De 150 Gramos </v>
          </cell>
        </row>
        <row r="656">
          <cell r="F656" t="str">
            <v xml:space="preserve">Papel Propalmate De 200 Grs </v>
          </cell>
        </row>
        <row r="657">
          <cell r="F657" t="str">
            <v xml:space="preserve">Papel Quimico Copia Azul De </v>
          </cell>
        </row>
        <row r="658">
          <cell r="F658" t="str">
            <v xml:space="preserve">Papel Quimico Copia Blanca De </v>
          </cell>
        </row>
        <row r="659">
          <cell r="F659" t="str">
            <v xml:space="preserve">Papel Quimico Copia Rosada De </v>
          </cell>
        </row>
        <row r="660">
          <cell r="F660" t="str">
            <v xml:space="preserve">Papel Quimico Copia Verde De </v>
          </cell>
        </row>
        <row r="661">
          <cell r="F661" t="str">
            <v>Papel Quimico Original De 70X100</v>
          </cell>
        </row>
        <row r="662">
          <cell r="F662" t="str">
            <v xml:space="preserve">Papel Revelador Panasonic Fax </v>
          </cell>
        </row>
        <row r="663">
          <cell r="F663" t="str">
            <v xml:space="preserve">Papel Termico Para Fax Norma </v>
          </cell>
        </row>
        <row r="664">
          <cell r="F664" t="str">
            <v xml:space="preserve">Papel Termico Para Fax Xerox </v>
          </cell>
        </row>
        <row r="665">
          <cell r="F665" t="str">
            <v xml:space="preserve">Papel Torreon Beige 180 Grs De </v>
          </cell>
        </row>
        <row r="666">
          <cell r="F666" t="str">
            <v xml:space="preserve">Papel Torreon Beige 90 Grs De </v>
          </cell>
        </row>
        <row r="667">
          <cell r="F667" t="str">
            <v>Papel Troquelado</v>
          </cell>
        </row>
        <row r="668">
          <cell r="F668" t="str">
            <v xml:space="preserve">Pelicula Sand Blasting, Textura </v>
          </cell>
        </row>
        <row r="669">
          <cell r="F669" t="str">
            <v>Percalina Para Empaste De Libros</v>
          </cell>
        </row>
        <row r="670">
          <cell r="F670" t="str">
            <v xml:space="preserve">Porta Etiquetas Plasticas Para </v>
          </cell>
        </row>
        <row r="671">
          <cell r="F671" t="str">
            <v>Refuerzos Autoadhesivos</v>
          </cell>
        </row>
        <row r="672">
          <cell r="F672" t="str">
            <v xml:space="preserve">Ritulos Adhesivos 6 Columnas X 16 </v>
          </cell>
        </row>
        <row r="673">
          <cell r="F673" t="str">
            <v xml:space="preserve">Rollo Terminal Impresora Epson </v>
          </cell>
        </row>
        <row r="674">
          <cell r="F674" t="str">
            <v>Rotulo Adhesivo 7X3 1/4</v>
          </cell>
        </row>
        <row r="675">
          <cell r="F675" t="str">
            <v>Rotulo Adhesivo 8 1/2X11</v>
          </cell>
        </row>
        <row r="676">
          <cell r="F676" t="str">
            <v xml:space="preserve">Rotulo Adhesivo Blanco 2 Columnas </v>
          </cell>
        </row>
        <row r="677">
          <cell r="F677" t="str">
            <v xml:space="preserve">Rotulo Adhesivo Blanco Dos </v>
          </cell>
        </row>
        <row r="678">
          <cell r="F678" t="str">
            <v xml:space="preserve">Rotulo Adhesivo Dos Columnas </v>
          </cell>
        </row>
        <row r="679">
          <cell r="F679" t="str">
            <v xml:space="preserve">Rotulo Adhesivo, Forma Continua, </v>
          </cell>
        </row>
        <row r="680">
          <cell r="F680" t="str">
            <v xml:space="preserve">Rotulo Adhesivo, Forma Continua, </v>
          </cell>
        </row>
        <row r="681">
          <cell r="F681" t="str">
            <v xml:space="preserve">Rotulo Adhesivo, Forma Continua, </v>
          </cell>
        </row>
        <row r="682">
          <cell r="F682" t="str">
            <v xml:space="preserve">Rotulo Adhesivo, Forma Continua, </v>
          </cell>
        </row>
        <row r="683">
          <cell r="F683" t="str">
            <v>Rotulo De 3X11 Tamaño 889 X23</v>
          </cell>
        </row>
        <row r="684">
          <cell r="F684" t="str">
            <v>Rotulos Acta De Sesion</v>
          </cell>
        </row>
        <row r="685">
          <cell r="F685" t="str">
            <v xml:space="preserve">Rotulos Acta De Sesion En </v>
          </cell>
        </row>
        <row r="686">
          <cell r="F686" t="str">
            <v xml:space="preserve">Rotulos Adhesivos 144 Gramos. </v>
          </cell>
        </row>
        <row r="687">
          <cell r="F687" t="str">
            <v xml:space="preserve">Rotulos Adhesivos 3 Columnas Por </v>
          </cell>
        </row>
        <row r="688">
          <cell r="F688" t="str">
            <v xml:space="preserve">Rotulos Adhesivos 3 Columnas Por </v>
          </cell>
        </row>
        <row r="689">
          <cell r="F689" t="str">
            <v xml:space="preserve">Rotulos De Correspondencia (Caja </v>
          </cell>
        </row>
        <row r="690">
          <cell r="F690" t="str">
            <v>Sobre Blanco Tamaño Oficio</v>
          </cell>
        </row>
        <row r="691">
          <cell r="F691" t="str">
            <v>Sobre Carta Bond Direccion</v>
          </cell>
        </row>
        <row r="692">
          <cell r="F692" t="str">
            <v>Sobre De Manila Carta</v>
          </cell>
        </row>
        <row r="693">
          <cell r="F693" t="str">
            <v>Sobre De Manila Gigante</v>
          </cell>
        </row>
        <row r="694">
          <cell r="F694" t="str">
            <v>Sobre De Manila Media Carta</v>
          </cell>
        </row>
        <row r="695">
          <cell r="F695" t="str">
            <v xml:space="preserve">Sobre De Manila Natural Tamaño </v>
          </cell>
        </row>
        <row r="696">
          <cell r="F696" t="str">
            <v>Sobre De Manila Oficio</v>
          </cell>
        </row>
        <row r="697">
          <cell r="F697" t="str">
            <v xml:space="preserve">Sobre En Papel Kimberly Color </v>
          </cell>
        </row>
        <row r="698">
          <cell r="F698" t="str">
            <v xml:space="preserve">Sobre En Papel Kimberly De </v>
          </cell>
        </row>
        <row r="699">
          <cell r="F699" t="str">
            <v xml:space="preserve">Sobre Legancy Wove Ambar 120G </v>
          </cell>
        </row>
        <row r="700">
          <cell r="F700" t="str">
            <v>Sobres Bond Oficio Direccion</v>
          </cell>
        </row>
        <row r="701">
          <cell r="F701" t="str">
            <v>Sobres De Manila Carta 22.5X23</v>
          </cell>
        </row>
        <row r="702">
          <cell r="F702" t="str">
            <v xml:space="preserve">Sobres De Manila Programa </v>
          </cell>
        </row>
        <row r="703">
          <cell r="F703" t="str">
            <v>Sobres De Manila Validacion A6</v>
          </cell>
        </row>
        <row r="704">
          <cell r="F704" t="str">
            <v>Sobres De Manila Validacion Ac</v>
          </cell>
        </row>
        <row r="705">
          <cell r="F705" t="str">
            <v>Sobres De Manila Validacion Cb</v>
          </cell>
        </row>
        <row r="706">
          <cell r="F706" t="str">
            <v>Sobres De Manila Validacion Cm</v>
          </cell>
        </row>
        <row r="707">
          <cell r="F707" t="str">
            <v>Sobres De Manila Validacion Dc</v>
          </cell>
        </row>
        <row r="708">
          <cell r="F708" t="str">
            <v>Sobres De Manila Validacion Sl</v>
          </cell>
        </row>
        <row r="709">
          <cell r="F709" t="str">
            <v>Sobres De Manila Validacion V5</v>
          </cell>
        </row>
        <row r="710">
          <cell r="F710" t="str">
            <v>Sobres De Manila Validacion Vg</v>
          </cell>
        </row>
        <row r="711">
          <cell r="F711" t="str">
            <v>Sobres De Manila Validacion Vn</v>
          </cell>
        </row>
        <row r="712">
          <cell r="F712" t="str">
            <v>Sobres En Cartulina Programa Ac</v>
          </cell>
        </row>
        <row r="713">
          <cell r="F713" t="str">
            <v>Sobres En Cartulina Programa Cb</v>
          </cell>
        </row>
        <row r="714">
          <cell r="F714" t="str">
            <v>Sobres En Cartulina Programa Cm</v>
          </cell>
        </row>
        <row r="715">
          <cell r="F715" t="str">
            <v>Sobres En Cartulina Programa V5</v>
          </cell>
        </row>
        <row r="716">
          <cell r="F716" t="str">
            <v>Sobres En Cartulina Programa Vg</v>
          </cell>
        </row>
        <row r="717">
          <cell r="F717" t="str">
            <v>Sobres En Cartulina Programa Vn</v>
          </cell>
        </row>
        <row r="718">
          <cell r="F718" t="str">
            <v>Tarjetas Control De Personal</v>
          </cell>
        </row>
        <row r="719">
          <cell r="F719" t="str">
            <v>Block Papel Periodico Carta</v>
          </cell>
        </row>
        <row r="720">
          <cell r="F720" t="str">
            <v xml:space="preserve">Block Papel Periodico Media Carta </v>
          </cell>
        </row>
        <row r="721">
          <cell r="F721" t="str">
            <v>Block Oficio Milimetrado</v>
          </cell>
        </row>
        <row r="722">
          <cell r="F722" t="str">
            <v xml:space="preserve">Block De Contabilidad De 8 </v>
          </cell>
        </row>
        <row r="723">
          <cell r="F723" t="str">
            <v xml:space="preserve">Libro De Contabilidad De 20 </v>
          </cell>
        </row>
        <row r="724">
          <cell r="F724" t="str">
            <v xml:space="preserve">Libro De Contabilidad De 10 </v>
          </cell>
        </row>
        <row r="725">
          <cell r="F725" t="str">
            <v xml:space="preserve">Libro De Contabilidad De 14 </v>
          </cell>
        </row>
        <row r="726">
          <cell r="F726" t="str">
            <v xml:space="preserve">Libro De Contabilidad De 16 </v>
          </cell>
        </row>
        <row r="727">
          <cell r="F727" t="str">
            <v>Block Oficio Blanco</v>
          </cell>
        </row>
        <row r="728">
          <cell r="F728" t="str">
            <v>Block Blanco Tamaño Carta</v>
          </cell>
        </row>
        <row r="729">
          <cell r="F729" t="str">
            <v>Block Papel Periodico Media Carta</v>
          </cell>
        </row>
        <row r="730">
          <cell r="F730" t="str">
            <v>Libreta Con Abecedario</v>
          </cell>
        </row>
        <row r="731">
          <cell r="F731" t="str">
            <v>Libreta Acta Medio Oficio</v>
          </cell>
        </row>
        <row r="732">
          <cell r="F732" t="str">
            <v xml:space="preserve">Libro De Contabilidad De 4 </v>
          </cell>
        </row>
        <row r="733">
          <cell r="F733" t="str">
            <v xml:space="preserve">Libro De Contabilidad De 3 </v>
          </cell>
        </row>
        <row r="734">
          <cell r="F734" t="str">
            <v>Libreta Para Taquigrafia</v>
          </cell>
        </row>
        <row r="735">
          <cell r="F735" t="str">
            <v>Libro De Actas 600 Folios</v>
          </cell>
        </row>
        <row r="736">
          <cell r="F736" t="str">
            <v>Carpeta Plastificada Carta Blanca</v>
          </cell>
        </row>
        <row r="737">
          <cell r="F737" t="str">
            <v>Libreta Carta Periodico</v>
          </cell>
        </row>
        <row r="738">
          <cell r="F738" t="str">
            <v>Carpeta Oficio Sin Guia Ni Marbete</v>
          </cell>
        </row>
        <row r="739">
          <cell r="F739" t="str">
            <v xml:space="preserve">Block Media Carta Cuadriculado </v>
          </cell>
        </row>
        <row r="740">
          <cell r="F740" t="str">
            <v>Block Medio Oficio Blanco</v>
          </cell>
        </row>
        <row r="741">
          <cell r="F741" t="str">
            <v>Libreta Rayada Carta (Cesu)</v>
          </cell>
        </row>
        <row r="742">
          <cell r="F742" t="str">
            <v>Agenda Diaria 2004 Gerencial</v>
          </cell>
        </row>
        <row r="743">
          <cell r="F743" t="str">
            <v>Agenda 2005</v>
          </cell>
        </row>
        <row r="744">
          <cell r="F744" t="str">
            <v>Agenda Diaria 2007 Biblia</v>
          </cell>
        </row>
        <row r="745">
          <cell r="F745" t="str">
            <v>Agenda Gerencia</v>
          </cell>
        </row>
        <row r="746">
          <cell r="F746" t="str">
            <v xml:space="preserve">Libreta En Papel Cuadriculado 80 </v>
          </cell>
        </row>
        <row r="747">
          <cell r="F747" t="str">
            <v>Libro De Actas 600 Folios</v>
          </cell>
        </row>
        <row r="748">
          <cell r="F748" t="str">
            <v>Caja De Carton De 16X30X22</v>
          </cell>
        </row>
        <row r="749">
          <cell r="F749" t="str">
            <v xml:space="preserve">Cajas De Carton Corrugado C-620M </v>
          </cell>
        </row>
        <row r="750">
          <cell r="F750" t="str">
            <v xml:space="preserve">Cajas De Carton Corrugado C-620M </v>
          </cell>
        </row>
        <row r="751">
          <cell r="F751" t="str">
            <v xml:space="preserve">Cajas De Carton Corrugado C-620M </v>
          </cell>
        </row>
        <row r="752">
          <cell r="F752" t="str">
            <v xml:space="preserve">Caja De Carton Con Logo </v>
          </cell>
        </row>
        <row r="753">
          <cell r="F753" t="str">
            <v xml:space="preserve">Cajas De Carton 52Cms X 31Cms X </v>
          </cell>
        </row>
        <row r="754">
          <cell r="F754" t="str">
            <v xml:space="preserve">Cajas De Carton 53Cms X 39Cms </v>
          </cell>
        </row>
        <row r="755">
          <cell r="F755" t="str">
            <v>Caja De Carton 38X29X53</v>
          </cell>
        </row>
        <row r="756">
          <cell r="F756" t="str">
            <v>Cajas De Carton Ref. L-500</v>
          </cell>
        </row>
        <row r="757">
          <cell r="F757" t="str">
            <v>Cajas De Carton 50X40X30 Cms</v>
          </cell>
        </row>
        <row r="758">
          <cell r="F758" t="str">
            <v>Cajas De Carton 25X40X30 Cms</v>
          </cell>
        </row>
        <row r="759">
          <cell r="F759" t="str">
            <v>Caja Para Archivo</v>
          </cell>
        </row>
        <row r="760">
          <cell r="F760" t="str">
            <v>Tapa Y Contratapa Para Archivo</v>
          </cell>
        </row>
        <row r="761">
          <cell r="F761" t="str">
            <v>Caja De Carton De 16X30X22</v>
          </cell>
        </row>
        <row r="762">
          <cell r="F762" t="str">
            <v>Caja De Carton De 28X38X51</v>
          </cell>
        </row>
        <row r="763">
          <cell r="F763" t="str">
            <v>Caja De Carton De 31X53X42</v>
          </cell>
        </row>
        <row r="764">
          <cell r="F764" t="str">
            <v>Bolsas Plasticas De 23X31 Cm</v>
          </cell>
        </row>
        <row r="765">
          <cell r="F765" t="str">
            <v>Bolsas Plasticas De 42X50 Cm</v>
          </cell>
        </row>
        <row r="766">
          <cell r="F766" t="str">
            <v>Bolsas Plasticas De 19.5 X 30</v>
          </cell>
        </row>
        <row r="767">
          <cell r="F767" t="str">
            <v xml:space="preserve">Bolsas Plasticas Pequeñas (Proceso </v>
          </cell>
        </row>
        <row r="768">
          <cell r="F768" t="str">
            <v xml:space="preserve">Bolsas Lechosas 16"X16" Cal.3 Con </v>
          </cell>
        </row>
        <row r="769">
          <cell r="F769" t="str">
            <v xml:space="preserve">Bolsas Transparentes 17"X20" </v>
          </cell>
        </row>
        <row r="770">
          <cell r="F770" t="str">
            <v xml:space="preserve">Rollo De Plastico Extensible Strech </v>
          </cell>
        </row>
        <row r="771">
          <cell r="F771" t="str">
            <v xml:space="preserve">Bolsa Transparente De 16,5" X 20 </v>
          </cell>
        </row>
        <row r="772">
          <cell r="F772" t="str">
            <v xml:space="preserve">Bolsas Plasticas Transparentes </v>
          </cell>
        </row>
        <row r="773">
          <cell r="F773" t="str">
            <v xml:space="preserve">Bolsa Plastica Blanca De Manija </v>
          </cell>
        </row>
        <row r="774">
          <cell r="F774" t="str">
            <v>Bolsa Transparente Baja Densidad</v>
          </cell>
        </row>
        <row r="775">
          <cell r="F775" t="str">
            <v>Bolsa Plastica Cierre Hermetico</v>
          </cell>
        </row>
        <row r="776">
          <cell r="F776" t="str">
            <v xml:space="preserve">Bolsa Transparente Baja 42 Cm X 52 </v>
          </cell>
        </row>
        <row r="777">
          <cell r="F777" t="str">
            <v xml:space="preserve">Bolsa Transparente Baja 22 Cm X 30 </v>
          </cell>
        </row>
        <row r="778">
          <cell r="F778" t="str">
            <v xml:space="preserve">Bolsa Lechosa De Baja 40 Cm X 40 </v>
          </cell>
        </row>
        <row r="779">
          <cell r="F779" t="str">
            <v xml:space="preserve">Bolsa Transparente Para Hojas De </v>
          </cell>
        </row>
        <row r="780">
          <cell r="F780" t="str">
            <v>Bolsa Institucional 25*35*9 Armada</v>
          </cell>
        </row>
        <row r="781">
          <cell r="F781" t="str">
            <v>ÚTILES Y ARTÍCULOS DE OFICINA  16%</v>
          </cell>
        </row>
        <row r="783">
          <cell r="F783" t="str">
            <v>Cinta Pegante 1/2 X 5</v>
          </cell>
        </row>
        <row r="784">
          <cell r="F784" t="str">
            <v>Cinta Transparente 1/2 X 20</v>
          </cell>
        </row>
        <row r="785">
          <cell r="F785" t="str">
            <v>Cinta Magnetica 1/4</v>
          </cell>
        </row>
        <row r="786">
          <cell r="F786" t="str">
            <v>Cinta Rebordeadora De Planos</v>
          </cell>
        </row>
        <row r="787">
          <cell r="F787" t="str">
            <v>Cinta Transparente 1/2 X 40</v>
          </cell>
        </row>
        <row r="788">
          <cell r="F788" t="str">
            <v>Cinta Engomada 3 1/2</v>
          </cell>
        </row>
        <row r="789">
          <cell r="F789" t="str">
            <v>Cinta Magica 1/2 X 25</v>
          </cell>
        </row>
        <row r="790">
          <cell r="F790" t="str">
            <v>Cinta Pegante De 1/2X40</v>
          </cell>
        </row>
        <row r="791">
          <cell r="F791" t="str">
            <v>Cinta Empaque Transparente (48*40)</v>
          </cell>
        </row>
        <row r="792">
          <cell r="F792" t="str">
            <v>Cinta Doble Fax 1/2X40</v>
          </cell>
        </row>
        <row r="793">
          <cell r="F793" t="str">
            <v>Cinta Rebordeadora De Planos</v>
          </cell>
        </row>
        <row r="794">
          <cell r="F794" t="str">
            <v>Cinta Pegante 1/2X5</v>
          </cell>
        </row>
        <row r="795">
          <cell r="F795" t="str">
            <v xml:space="preserve">Cinta Empaque Transparente </v>
          </cell>
        </row>
        <row r="796">
          <cell r="F796" t="str">
            <v xml:space="preserve">Cinta Roja Para Montaje De 1/2X50 </v>
          </cell>
        </row>
        <row r="797">
          <cell r="F797" t="str">
            <v>Cinta De Teflon</v>
          </cell>
        </row>
        <row r="798">
          <cell r="F798" t="str">
            <v>Cinta De Enmascarar(24*40)</v>
          </cell>
        </row>
        <row r="799">
          <cell r="F799" t="str">
            <v>Cinta Pegante 1/2 X 50</v>
          </cell>
        </row>
        <row r="800">
          <cell r="F800" t="str">
            <v>Cinta Adhesiva Espumax30 Metros</v>
          </cell>
        </row>
        <row r="801">
          <cell r="F801" t="str">
            <v>Cinta Rotuladora 3/8 Marca 3M</v>
          </cell>
        </row>
        <row r="802">
          <cell r="F802" t="str">
            <v>Cinta Rotuladora 3/8 Marca Dymo</v>
          </cell>
        </row>
        <row r="803">
          <cell r="F803" t="str">
            <v xml:space="preserve">Cinta Reflectora, Polipropileno 48 X </v>
          </cell>
        </row>
        <row r="804">
          <cell r="F804" t="str">
            <v>Folder Geluguia Vertical (No Utilizar)</v>
          </cell>
        </row>
        <row r="805">
          <cell r="F805" t="str">
            <v>Pasta Normadata (No Utilizar)</v>
          </cell>
        </row>
        <row r="806">
          <cell r="F806" t="str">
            <v>Pasta Normadata 14 Ap</v>
          </cell>
        </row>
        <row r="807">
          <cell r="F807" t="str">
            <v>Folder Yute Horizontal Carta</v>
          </cell>
        </row>
        <row r="808">
          <cell r="F808" t="str">
            <v xml:space="preserve">Folder Horizontal Oficio Colores (No </v>
          </cell>
        </row>
        <row r="809">
          <cell r="F809" t="str">
            <v>Folder Colgante Color Azul</v>
          </cell>
        </row>
        <row r="810">
          <cell r="F810" t="str">
            <v>Indices Normadata</v>
          </cell>
        </row>
        <row r="811">
          <cell r="F811" t="str">
            <v xml:space="preserve">Pasta Normadata Rank 14 7/8X11 </v>
          </cell>
        </row>
        <row r="812">
          <cell r="F812" t="str">
            <v xml:space="preserve">Pastas Sin Lomo 10 5/8X11 (No </v>
          </cell>
        </row>
        <row r="813">
          <cell r="F813" t="str">
            <v xml:space="preserve">Pastas Sin Lomo 14 7/8X11 (No </v>
          </cell>
        </row>
        <row r="814">
          <cell r="F814" t="str">
            <v>Pasta Normadata 10 5/8</v>
          </cell>
        </row>
        <row r="815">
          <cell r="F815" t="str">
            <v>Folder Oficio Horizontal Yute</v>
          </cell>
        </row>
        <row r="816">
          <cell r="F816" t="str">
            <v>Folder Vertical Oficio Yute</v>
          </cell>
        </row>
        <row r="817">
          <cell r="F817" t="str">
            <v xml:space="preserve">Folder Horizontal 90 Gramos </v>
          </cell>
        </row>
        <row r="818">
          <cell r="F818" t="str">
            <v>Pasta Catalogo Convertible (1.5R)</v>
          </cell>
        </row>
        <row r="819">
          <cell r="F819" t="str">
            <v>Folder Celuguia Horizontal Oficio</v>
          </cell>
        </row>
        <row r="820">
          <cell r="F820" t="str">
            <v xml:space="preserve">Folder Especial Para Archivo (Alto </v>
          </cell>
        </row>
        <row r="821">
          <cell r="F821" t="str">
            <v>Revistero Para Archivo Documentos</v>
          </cell>
        </row>
        <row r="822">
          <cell r="F822" t="str">
            <v>Folder Celuguia Oficio Vertical</v>
          </cell>
        </row>
        <row r="823">
          <cell r="F823" t="str">
            <v xml:space="preserve">Revisteros Alfa 2002/2001 (No </v>
          </cell>
        </row>
        <row r="824">
          <cell r="F824" t="str">
            <v xml:space="preserve">Folder Celuguia Oficio Vertical </v>
          </cell>
        </row>
        <row r="825">
          <cell r="F825" t="str">
            <v xml:space="preserve">Folder Oficio Sin Guia Ni Membrete </v>
          </cell>
        </row>
        <row r="826">
          <cell r="F826" t="str">
            <v xml:space="preserve">Carpeta Oficio Aleta Completa En </v>
          </cell>
        </row>
        <row r="827">
          <cell r="F827" t="str">
            <v>Lomo Oficio</v>
          </cell>
        </row>
        <row r="828">
          <cell r="F828" t="str">
            <v>Lomo Carta</v>
          </cell>
        </row>
        <row r="829">
          <cell r="F829" t="str">
            <v>Tornillos De 2"</v>
          </cell>
        </row>
        <row r="830">
          <cell r="F830" t="str">
            <v>Pasta Tamaño Carta (No Utilizar)</v>
          </cell>
        </row>
        <row r="831">
          <cell r="F831" t="str">
            <v>Pastas Tamaño Oficio (No Utilizar)</v>
          </cell>
        </row>
        <row r="832">
          <cell r="F832" t="str">
            <v>Folder Celuguia Colgante</v>
          </cell>
        </row>
        <row r="833">
          <cell r="F833" t="str">
            <v xml:space="preserve">Pasta De Argolla Plastificada </v>
          </cell>
        </row>
        <row r="834">
          <cell r="F834" t="str">
            <v>Carpetas Para Hojas De Vida</v>
          </cell>
        </row>
        <row r="835">
          <cell r="F835" t="str">
            <v>Pasta De Argolla De 1.5"R Ref.230</v>
          </cell>
        </row>
        <row r="836">
          <cell r="F836" t="str">
            <v>Pasta Listado Papel 14 7/8 X11</v>
          </cell>
        </row>
        <row r="837">
          <cell r="F837" t="str">
            <v>Pasta Argolla Convertible 0,5 R</v>
          </cell>
        </row>
        <row r="838">
          <cell r="F838" t="str">
            <v>Pasta Argolla Convertible 1,5</v>
          </cell>
        </row>
        <row r="839">
          <cell r="F839" t="str">
            <v>Pincel Pelo De Marta No. 4</v>
          </cell>
        </row>
        <row r="840">
          <cell r="F840" t="str">
            <v>Pincel Pelo De Marta No. 5</v>
          </cell>
        </row>
        <row r="841">
          <cell r="F841" t="str">
            <v>Pincel Plano Ancho -2 Cms-</v>
          </cell>
        </row>
        <row r="842">
          <cell r="F842" t="str">
            <v>Grapa Plastica Para Zuncho</v>
          </cell>
        </row>
        <row r="843">
          <cell r="F843" t="str">
            <v xml:space="preserve">Grapa Cosedora Industrial De </v>
          </cell>
        </row>
        <row r="844">
          <cell r="F844" t="str">
            <v xml:space="preserve">Grapa Cosedora Industrial De </v>
          </cell>
        </row>
        <row r="845">
          <cell r="F845" t="str">
            <v>Zuncho Plastico</v>
          </cell>
        </row>
        <row r="846">
          <cell r="F846" t="str">
            <v>Anillos Plasticos Varios Tamaños</v>
          </cell>
        </row>
        <row r="847">
          <cell r="F847" t="str">
            <v xml:space="preserve">Almohadilla Para Revelado De </v>
          </cell>
        </row>
        <row r="848">
          <cell r="F848" t="str">
            <v xml:space="preserve">Borrador Liquido Kodak Polimatic </v>
          </cell>
        </row>
        <row r="849">
          <cell r="F849" t="str">
            <v>Corrector De Pelicula Opaque</v>
          </cell>
        </row>
        <row r="850">
          <cell r="F850" t="str">
            <v>Corrector Negativo Ozasol Kn-250</v>
          </cell>
        </row>
        <row r="851">
          <cell r="F851" t="str">
            <v>Corrector Para Planchas Positivas</v>
          </cell>
        </row>
        <row r="852">
          <cell r="F852" t="str">
            <v xml:space="preserve">Corrector Liquido Para Planchas </v>
          </cell>
        </row>
        <row r="853">
          <cell r="F853" t="str">
            <v>Acetatos A Color</v>
          </cell>
        </row>
        <row r="854">
          <cell r="F854" t="str">
            <v>Acetatos Blanco Y Negro</v>
          </cell>
        </row>
        <row r="855">
          <cell r="F855" t="str">
            <v xml:space="preserve">Acetato Para Fotocopiadora Caja </v>
          </cell>
        </row>
        <row r="856">
          <cell r="F856" t="str">
            <v xml:space="preserve">Acetato Para Impresora Caja X50 </v>
          </cell>
        </row>
        <row r="857">
          <cell r="F857" t="str">
            <v>Escuadras De 60X32 Plasticas</v>
          </cell>
        </row>
        <row r="858">
          <cell r="F858" t="str">
            <v>Escuadras Plasticas De 60X20</v>
          </cell>
        </row>
        <row r="859">
          <cell r="F859" t="str">
            <v>Escuadras De 60X16 Cms Plastica</v>
          </cell>
        </row>
        <row r="860">
          <cell r="F860" t="str">
            <v>Cinta De Papel Para Calculadora</v>
          </cell>
        </row>
        <row r="861">
          <cell r="F861" t="str">
            <v>Lapiz De Mina Roja (No Utilizar)</v>
          </cell>
        </row>
        <row r="862">
          <cell r="F862" t="str">
            <v>Lapiz Borrador Con Escobilla</v>
          </cell>
        </row>
        <row r="863">
          <cell r="F863" t="str">
            <v>Lapiz Color Verde</v>
          </cell>
        </row>
        <row r="864">
          <cell r="F864" t="str">
            <v>Lapiz Color Azul</v>
          </cell>
        </row>
        <row r="865">
          <cell r="F865" t="str">
            <v>Tinta Negra Parker</v>
          </cell>
        </row>
        <row r="866">
          <cell r="F866" t="str">
            <v>Tinta Para Sellos</v>
          </cell>
        </row>
        <row r="867">
          <cell r="F867" t="str">
            <v>Tinta Para Estilografo Color Azul</v>
          </cell>
        </row>
        <row r="868">
          <cell r="F868" t="str">
            <v>Tinta China Negra</v>
          </cell>
        </row>
        <row r="869">
          <cell r="F869" t="str">
            <v>Tinta Rotring Para Rapidografo</v>
          </cell>
        </row>
        <row r="870">
          <cell r="F870" t="str">
            <v>Tinta Para Sellos Violeta (No Utilizar)</v>
          </cell>
        </row>
        <row r="871">
          <cell r="F871" t="str">
            <v xml:space="preserve">Tinta Rotring Para Rapidografo </v>
          </cell>
        </row>
        <row r="872">
          <cell r="F872" t="str">
            <v xml:space="preserve">Tinta Para Sellos Color Violeta (No </v>
          </cell>
        </row>
        <row r="873">
          <cell r="F873" t="str">
            <v xml:space="preserve">Tinta Para Numerador Metalico (No </v>
          </cell>
        </row>
        <row r="874">
          <cell r="F874" t="str">
            <v>Minas 2H Turquoise</v>
          </cell>
        </row>
        <row r="875">
          <cell r="F875" t="str">
            <v>Pasta Limpiatipos</v>
          </cell>
        </row>
        <row r="876">
          <cell r="F876" t="str">
            <v>Lapiz Color Rojo</v>
          </cell>
        </row>
        <row r="877">
          <cell r="F877" t="str">
            <v>Minas 3H Turquoise</v>
          </cell>
        </row>
        <row r="878">
          <cell r="F878" t="str">
            <v>Cuchilla Para Mango Pequeño</v>
          </cell>
        </row>
        <row r="879">
          <cell r="F879" t="str">
            <v>Cuchilla Para Mango Grande</v>
          </cell>
        </row>
        <row r="880">
          <cell r="F880" t="str">
            <v>Marcador Permanente</v>
          </cell>
        </row>
        <row r="881">
          <cell r="F881" t="str">
            <v>Marcador Borrado En Seco</v>
          </cell>
        </row>
        <row r="882">
          <cell r="F882" t="str">
            <v xml:space="preserve">Gancho Para Cosedorax5000 (No </v>
          </cell>
        </row>
        <row r="883">
          <cell r="F883" t="str">
            <v>Rollo Fotografico Xpz Negro</v>
          </cell>
        </row>
        <row r="884">
          <cell r="F884" t="str">
            <v>Minas 0.9 Mm</v>
          </cell>
        </row>
        <row r="885">
          <cell r="F885" t="str">
            <v>Chinches</v>
          </cell>
        </row>
        <row r="886">
          <cell r="F886" t="str">
            <v>Borrador De Nata</v>
          </cell>
        </row>
        <row r="887">
          <cell r="F887" t="str">
            <v>Regla Plana De 30 Cms</v>
          </cell>
        </row>
        <row r="888">
          <cell r="F888" t="str">
            <v>Regla Plana De 50 Cms</v>
          </cell>
        </row>
        <row r="889">
          <cell r="F889" t="str">
            <v>Pegante Super Bonder</v>
          </cell>
        </row>
        <row r="890">
          <cell r="F890" t="str">
            <v>Dispensador De Glicerina</v>
          </cell>
        </row>
        <row r="891">
          <cell r="F891" t="str">
            <v>Rollo Fotografico A Color</v>
          </cell>
        </row>
        <row r="892">
          <cell r="F892" t="str">
            <v>Portaminas</v>
          </cell>
        </row>
        <row r="893">
          <cell r="F893" t="str">
            <v>Pilas Doble Aa</v>
          </cell>
        </row>
        <row r="894">
          <cell r="F894" t="str">
            <v xml:space="preserve">Boligrafo Cuerpo Transparente Tinta </v>
          </cell>
        </row>
        <row r="895">
          <cell r="F895" t="str">
            <v>Bandas De Caucho</v>
          </cell>
        </row>
        <row r="896">
          <cell r="F896" t="str">
            <v>Ganchos Clips Mariposa</v>
          </cell>
        </row>
        <row r="897">
          <cell r="F897" t="str">
            <v xml:space="preserve">Boligrafo Cuerpo Transparente Tinta </v>
          </cell>
        </row>
        <row r="898">
          <cell r="F898" t="str">
            <v>Pilas Triple Aaa</v>
          </cell>
        </row>
        <row r="899">
          <cell r="F899" t="str">
            <v>Pad Mouse</v>
          </cell>
        </row>
        <row r="900">
          <cell r="F900" t="str">
            <v xml:space="preserve">Ganchos Para Fotocopiadora Xerox </v>
          </cell>
        </row>
        <row r="901">
          <cell r="F901" t="str">
            <v>Ganchos Para Legajar</v>
          </cell>
        </row>
        <row r="902">
          <cell r="F902" t="str">
            <v>Lapiz Mina Negra No.2</v>
          </cell>
        </row>
        <row r="903">
          <cell r="F903" t="str">
            <v>Colbon 4 Kilos</v>
          </cell>
        </row>
        <row r="904">
          <cell r="F904" t="str">
            <v>Marbetes Diferentes Colores</v>
          </cell>
        </row>
        <row r="905">
          <cell r="F905" t="str">
            <v>Cordones Para Escarapela</v>
          </cell>
        </row>
        <row r="906">
          <cell r="F906" t="str">
            <v>Escarapela Horizontal Pequeña</v>
          </cell>
        </row>
        <row r="907">
          <cell r="F907" t="str">
            <v>Ganchos Para Escarapela</v>
          </cell>
        </row>
        <row r="908">
          <cell r="F908" t="str">
            <v>Escarapela Vertical Grande</v>
          </cell>
        </row>
        <row r="909">
          <cell r="F909" t="str">
            <v>Escarapela Vertical Pequeña</v>
          </cell>
        </row>
        <row r="910">
          <cell r="F910" t="str">
            <v>Gancho Velobind 11 Pines</v>
          </cell>
        </row>
        <row r="911">
          <cell r="F911" t="str">
            <v>Gancho Velobindx25 Paquetex200</v>
          </cell>
        </row>
        <row r="912">
          <cell r="F912" t="str">
            <v>Tiza Blanca</v>
          </cell>
        </row>
        <row r="913">
          <cell r="F913" t="str">
            <v>Lapiz Para Dibujo</v>
          </cell>
        </row>
        <row r="914">
          <cell r="F914" t="str">
            <v>Escuadras 50 Cms 60°</v>
          </cell>
        </row>
        <row r="915">
          <cell r="F915" t="str">
            <v xml:space="preserve">Grapa Para Cosedora Wingo </v>
          </cell>
        </row>
        <row r="916">
          <cell r="F916" t="str">
            <v>Boligrafo Azul (Cesu)</v>
          </cell>
        </row>
        <row r="917">
          <cell r="F917" t="str">
            <v>Ganchos Kataya (No Utilizar)</v>
          </cell>
        </row>
        <row r="918">
          <cell r="F918" t="str">
            <v xml:space="preserve">Pegante Instantaneo Bonder (No </v>
          </cell>
        </row>
        <row r="919">
          <cell r="F919" t="str">
            <v xml:space="preserve">Tinta Para Sellos Azul Pelikan (No </v>
          </cell>
        </row>
        <row r="920">
          <cell r="F920" t="str">
            <v>Escuadras De 45X32 Cms Plasticas</v>
          </cell>
        </row>
        <row r="921">
          <cell r="F921" t="str">
            <v>Pasta Limpiatipos (No Utilizar)</v>
          </cell>
        </row>
        <row r="922">
          <cell r="F922" t="str">
            <v>Gancho Clip Pequeño (*100)</v>
          </cell>
        </row>
        <row r="923">
          <cell r="F923" t="str">
            <v>Ganchos Kataya (No Utilizar)</v>
          </cell>
        </row>
        <row r="924">
          <cell r="F924" t="str">
            <v>Borrador Para Tablero Acrilico</v>
          </cell>
        </row>
        <row r="925">
          <cell r="F925" t="str">
            <v>Corrector Liquido</v>
          </cell>
        </row>
        <row r="926">
          <cell r="F926" t="str">
            <v xml:space="preserve">Cartulina Bristol Tamaño Carta En </v>
          </cell>
        </row>
        <row r="927">
          <cell r="F927" t="str">
            <v xml:space="preserve">Protector De Pantalla Para </v>
          </cell>
        </row>
        <row r="928">
          <cell r="F928" t="str">
            <v>Gancho Nodriza</v>
          </cell>
        </row>
        <row r="929">
          <cell r="F929" t="str">
            <v>Mango Para Bisturi Plastico Grande</v>
          </cell>
        </row>
        <row r="930">
          <cell r="F930" t="str">
            <v>Archivador Az Carta Pvc</v>
          </cell>
        </row>
        <row r="931">
          <cell r="F931" t="str">
            <v>Archivador Az Oficio Corriente</v>
          </cell>
        </row>
        <row r="932">
          <cell r="F932" t="str">
            <v>Pegante En Barra (40 Gramos)</v>
          </cell>
        </row>
        <row r="933">
          <cell r="F933" t="str">
            <v xml:space="preserve">Colbon Universal X 25 Gramos (No </v>
          </cell>
        </row>
        <row r="934">
          <cell r="F934" t="str">
            <v xml:space="preserve">Baterias Para Photo Cr 123 Lithiun </v>
          </cell>
        </row>
        <row r="935">
          <cell r="F935" t="str">
            <v>Baterias Alkalinas 9 V Block</v>
          </cell>
        </row>
        <row r="936">
          <cell r="F936" t="str">
            <v>Tijeras Tamaño Mediano</v>
          </cell>
        </row>
        <row r="937">
          <cell r="F937" t="str">
            <v>Colbon Madera (Supercola)</v>
          </cell>
        </row>
        <row r="938">
          <cell r="F938" t="str">
            <v xml:space="preserve">Cartulina Kimberly 180 Grs Marfil </v>
          </cell>
        </row>
        <row r="939">
          <cell r="F939" t="str">
            <v xml:space="preserve">Cartulina Kimberly 220 Gr Marfil </v>
          </cell>
        </row>
        <row r="940">
          <cell r="F940" t="str">
            <v xml:space="preserve">Carnet En Pvc Tipo Credito (No </v>
          </cell>
        </row>
        <row r="941">
          <cell r="F941" t="str">
            <v>Escarapela Portacarnet</v>
          </cell>
        </row>
        <row r="942">
          <cell r="F942" t="str">
            <v xml:space="preserve">Cordon Azul De 90 Cms. (No </v>
          </cell>
        </row>
        <row r="943">
          <cell r="F943" t="str">
            <v>Resaltador (No Utilizar)</v>
          </cell>
        </row>
        <row r="944">
          <cell r="F944" t="str">
            <v>Tajalapiz Metalico De Bolsillo</v>
          </cell>
        </row>
        <row r="945">
          <cell r="F945" t="str">
            <v xml:space="preserve">Cartulinas Diferentes Colores (No </v>
          </cell>
        </row>
        <row r="946">
          <cell r="F946" t="str">
            <v>Pegante Boxer</v>
          </cell>
        </row>
        <row r="947">
          <cell r="F947" t="str">
            <v>Mango Plastico Para Bisturi Pequeño</v>
          </cell>
        </row>
        <row r="948">
          <cell r="F948" t="str">
            <v>Minas O.5</v>
          </cell>
        </row>
        <row r="949">
          <cell r="F949" t="str">
            <v>Caja Para Archivo</v>
          </cell>
        </row>
        <row r="950">
          <cell r="F950" t="str">
            <v>Plumigrafo Micropunta Colores</v>
          </cell>
        </row>
        <row r="951">
          <cell r="F951" t="str">
            <v>Legajador Az Oficio Papier</v>
          </cell>
        </row>
        <row r="952">
          <cell r="F952" t="str">
            <v xml:space="preserve">Plumigrafo Micropunta (Colores </v>
          </cell>
        </row>
        <row r="953">
          <cell r="F953" t="str">
            <v xml:space="preserve">Plumigrafo Micropunta Pelikan Verde </v>
          </cell>
        </row>
        <row r="954">
          <cell r="F954" t="str">
            <v>Resaltador Colores Surtidos</v>
          </cell>
        </row>
        <row r="955">
          <cell r="F955" t="str">
            <v>Pila 9V Alkalina</v>
          </cell>
        </row>
        <row r="956">
          <cell r="F956" t="str">
            <v xml:space="preserve">Pila 12V (Control Alarma De </v>
          </cell>
        </row>
        <row r="957">
          <cell r="F957" t="str">
            <v>Carton Paja Crema 1/8 420 Gramos</v>
          </cell>
        </row>
        <row r="958">
          <cell r="F958" t="str">
            <v>Pegante En Barra (45 Gramos)</v>
          </cell>
        </row>
        <row r="959">
          <cell r="F959" t="str">
            <v xml:space="preserve">Papel Iris Mini Pack Carta Paq. X100 </v>
          </cell>
        </row>
        <row r="960">
          <cell r="F960" t="str">
            <v xml:space="preserve">Papel Iris Mini Pack Carta Paq X 100 </v>
          </cell>
        </row>
        <row r="961">
          <cell r="F961" t="str">
            <v xml:space="preserve">Papel Iris Mini Pack Carta Pq X100 </v>
          </cell>
        </row>
        <row r="962">
          <cell r="F962" t="str">
            <v xml:space="preserve">Papel Iris Mini Pack Carta Paqx100 </v>
          </cell>
        </row>
        <row r="963">
          <cell r="F963" t="str">
            <v xml:space="preserve">Papel Iris Mini Pack Carta Paqx100 </v>
          </cell>
        </row>
        <row r="964">
          <cell r="F964" t="str">
            <v xml:space="preserve">Papel Iris Mini Pack Carta Paqx100 </v>
          </cell>
        </row>
        <row r="965">
          <cell r="F965" t="str">
            <v xml:space="preserve">Papel Iris Mini Pack Carta Paqx100 </v>
          </cell>
        </row>
        <row r="966">
          <cell r="F966" t="str">
            <v xml:space="preserve">Tijera De Oficina Mango Plastico, </v>
          </cell>
        </row>
        <row r="967">
          <cell r="F967" t="str">
            <v>Carnet Personalizados Con Foto</v>
          </cell>
        </row>
        <row r="968">
          <cell r="F968" t="str">
            <v>Escarapelas Con Cordon</v>
          </cell>
        </row>
        <row r="969">
          <cell r="F969" t="str">
            <v xml:space="preserve">Cartulina Tamaño Oficio Varios </v>
          </cell>
        </row>
        <row r="970">
          <cell r="F970" t="str">
            <v>Archivador Portatil Todo Pacck #4</v>
          </cell>
        </row>
        <row r="971">
          <cell r="F971" t="str">
            <v>Papel Seda</v>
          </cell>
        </row>
        <row r="972">
          <cell r="F972" t="str">
            <v>Bombas</v>
          </cell>
        </row>
        <row r="973">
          <cell r="F973" t="str">
            <v>Papel Kimberly</v>
          </cell>
        </row>
        <row r="974">
          <cell r="F974" t="str">
            <v xml:space="preserve">Pilas Recargables De 9V Para </v>
          </cell>
        </row>
        <row r="975">
          <cell r="F975" t="str">
            <v xml:space="preserve">Cartulinas Tamaño Oficio, Gruesas, </v>
          </cell>
        </row>
        <row r="976">
          <cell r="F976" t="str">
            <v>Tarjetas De Control</v>
          </cell>
        </row>
        <row r="977">
          <cell r="F977" t="str">
            <v xml:space="preserve">Papel Iris Tamaño Carta Rojo </v>
          </cell>
        </row>
        <row r="978">
          <cell r="F978" t="str">
            <v xml:space="preserve">Papel Iris Tamaño Carta Amarillo </v>
          </cell>
        </row>
        <row r="979">
          <cell r="F979" t="str">
            <v>Carpeta De Rotulos</v>
          </cell>
        </row>
        <row r="980">
          <cell r="F980" t="str">
            <v>Bandas De Caucho Siliconadas</v>
          </cell>
        </row>
        <row r="981">
          <cell r="F981" t="str">
            <v xml:space="preserve">Dispensadores De Cinta </v>
          </cell>
        </row>
        <row r="982">
          <cell r="F982" t="str">
            <v>Escarapela Calibre 20</v>
          </cell>
        </row>
        <row r="983">
          <cell r="F983" t="str">
            <v xml:space="preserve">Escarapela De Identificacion </v>
          </cell>
        </row>
        <row r="984">
          <cell r="F984" t="str">
            <v>Escarapela Grande Con Gancho</v>
          </cell>
        </row>
        <row r="985">
          <cell r="F985" t="str">
            <v>Escarapela Pequeña Con Gancho</v>
          </cell>
        </row>
        <row r="986">
          <cell r="F986" t="str">
            <v xml:space="preserve">Separadores En Cartulina Con </v>
          </cell>
        </row>
        <row r="987">
          <cell r="F987" t="str">
            <v>Tajalapiz Electrico</v>
          </cell>
        </row>
        <row r="988">
          <cell r="F988" t="str">
            <v>Colbon Universal Pequeño</v>
          </cell>
        </row>
        <row r="989">
          <cell r="F989" t="str">
            <v>Grapa Para Cosedora Estandar</v>
          </cell>
        </row>
        <row r="990">
          <cell r="F990" t="str">
            <v>Tinta Para Almohadilla Color Violeta</v>
          </cell>
        </row>
        <row r="991">
          <cell r="F991" t="str">
            <v xml:space="preserve">Cordon Sencillo De 90 Cms Color </v>
          </cell>
        </row>
        <row r="992">
          <cell r="F992" t="str">
            <v xml:space="preserve">Escarapela Horizontal Satin 6 Y </v>
          </cell>
        </row>
        <row r="993">
          <cell r="F993" t="str">
            <v xml:space="preserve">Tinta Color Rojo Para Protectora De </v>
          </cell>
        </row>
        <row r="994">
          <cell r="F994" t="str">
            <v xml:space="preserve">Dispensador De Cinta Transparente </v>
          </cell>
        </row>
        <row r="995">
          <cell r="F995" t="str">
            <v>Pinza Para Papel Tamaño Grande</v>
          </cell>
        </row>
        <row r="996">
          <cell r="F996" t="str">
            <v>Pinza Para Papel Mediana</v>
          </cell>
        </row>
        <row r="997">
          <cell r="F997" t="str">
            <v xml:space="preserve">Cartulinas Separadores Con Pestaña </v>
          </cell>
        </row>
        <row r="998">
          <cell r="F998" t="str">
            <v>Tijeras De Doblar</v>
          </cell>
        </row>
        <row r="999">
          <cell r="F999" t="str">
            <v>Plumigrafo Negro Plus 157X2</v>
          </cell>
        </row>
        <row r="1000">
          <cell r="F1000" t="str">
            <v>Tinta Dactilar Negro (Para Huellero)</v>
          </cell>
        </row>
        <row r="1001">
          <cell r="F1001" t="str">
            <v>Gancho Para Expediente No. 6</v>
          </cell>
        </row>
        <row r="1002">
          <cell r="F1002" t="str">
            <v>Mango Con Cuchilla Ref:180</v>
          </cell>
        </row>
        <row r="1003">
          <cell r="F1003" t="str">
            <v>Marcadores Para Cd</v>
          </cell>
        </row>
        <row r="1004">
          <cell r="F1004" t="str">
            <v>Plumigrafo Micropunta Negro</v>
          </cell>
        </row>
        <row r="1005">
          <cell r="F1005" t="str">
            <v>Numerador Automatico Marca Nhitan</v>
          </cell>
        </row>
        <row r="1006">
          <cell r="F1006" t="str">
            <v xml:space="preserve">Ganchos Para Legajar Plasticos </v>
          </cell>
        </row>
        <row r="1007">
          <cell r="F1007" t="str">
            <v>Minas 0.7</v>
          </cell>
        </row>
        <row r="1008">
          <cell r="F1008" t="str">
            <v>Pegante Liquido Pequeño</v>
          </cell>
        </row>
        <row r="1009">
          <cell r="F1009" t="str">
            <v>Post It Diferentes Colores</v>
          </cell>
        </row>
        <row r="1010">
          <cell r="F1010" t="str">
            <v>Regla Metalica De 30 Cms</v>
          </cell>
        </row>
        <row r="1011">
          <cell r="F1011" t="str">
            <v>Portaminas 0.7</v>
          </cell>
        </row>
        <row r="1012">
          <cell r="F1012" t="str">
            <v>Cartulina Negra</v>
          </cell>
        </row>
        <row r="1013">
          <cell r="F1013" t="str">
            <v>Porta Sellos</v>
          </cell>
        </row>
        <row r="1014">
          <cell r="F1014" t="str">
            <v>Porta Clips</v>
          </cell>
        </row>
        <row r="1015">
          <cell r="F1015" t="str">
            <v>Porta Lapiz</v>
          </cell>
        </row>
        <row r="1016">
          <cell r="F1016" t="str">
            <v>Bolsa Protectora De Documento</v>
          </cell>
        </row>
        <row r="1017">
          <cell r="F1017" t="str">
            <v>Boligrafo Uniball Lum 153</v>
          </cell>
        </row>
        <row r="1018">
          <cell r="F1018" t="str">
            <v xml:space="preserve">Cartulinas Separadores Con Pestaña </v>
          </cell>
        </row>
        <row r="1019">
          <cell r="F1019" t="str">
            <v xml:space="preserve">Papel Contac Transparente </v>
          </cell>
        </row>
        <row r="1020">
          <cell r="F1020" t="str">
            <v xml:space="preserve">Papel Adhesivo Para Notas </v>
          </cell>
        </row>
        <row r="1021">
          <cell r="F1021" t="str">
            <v xml:space="preserve">Porta Carnes Rigidos, Plastico, </v>
          </cell>
        </row>
        <row r="1022">
          <cell r="F1022" t="str">
            <v xml:space="preserve">Ganchos Tipo Yoyo,Con Clip De </v>
          </cell>
        </row>
        <row r="1023">
          <cell r="F1023" t="str">
            <v>Lalalalalal</v>
          </cell>
        </row>
        <row r="1024">
          <cell r="F1024" t="str">
            <v>Cd Sin Estuche</v>
          </cell>
        </row>
        <row r="1025">
          <cell r="F1025" t="str">
            <v>Bolsillo De Felpa Pra Cd</v>
          </cell>
        </row>
        <row r="1026">
          <cell r="F1026" t="str">
            <v xml:space="preserve">Resaltador Triangular Pelikan Varios </v>
          </cell>
        </row>
        <row r="1027">
          <cell r="F1027" t="str">
            <v>Cd Room Movilizacion</v>
          </cell>
        </row>
        <row r="1028">
          <cell r="F1028" t="str">
            <v xml:space="preserve">Cinta Datacartridge Dc 6250 Para </v>
          </cell>
        </row>
        <row r="1029">
          <cell r="F1029" t="str">
            <v>Cinta Imation 3M Travan 4</v>
          </cell>
        </row>
        <row r="1030">
          <cell r="F1030" t="str">
            <v xml:space="preserve">Data Tapes 4Mmx90L 6B (No </v>
          </cell>
        </row>
        <row r="1031">
          <cell r="F1031" t="str">
            <v xml:space="preserve">Mini Datacartridge Dc 2120 (No </v>
          </cell>
        </row>
        <row r="1032">
          <cell r="F1032" t="str">
            <v xml:space="preserve">Cinta Para Backup Imation 3M </v>
          </cell>
        </row>
        <row r="1033">
          <cell r="F1033" t="str">
            <v xml:space="preserve">Cinta Para Backup Up Data Tapes </v>
          </cell>
        </row>
        <row r="1034">
          <cell r="F1034" t="str">
            <v xml:space="preserve">Cinta Para Backup Up Mini Data </v>
          </cell>
        </row>
        <row r="1035">
          <cell r="F1035" t="str">
            <v xml:space="preserve">Cinta Para Backup Up Data Tapes </v>
          </cell>
        </row>
        <row r="1036">
          <cell r="F1036" t="str">
            <v xml:space="preserve">Cinta Para Backup Up Data </v>
          </cell>
        </row>
        <row r="1037">
          <cell r="F1037" t="str">
            <v xml:space="preserve">Cinta Para Backup Up Data Tapes </v>
          </cell>
        </row>
        <row r="1038">
          <cell r="F1038" t="str">
            <v xml:space="preserve">Cd Room Virgen, Paquetex50 (No </v>
          </cell>
        </row>
        <row r="1039">
          <cell r="F1039" t="str">
            <v xml:space="preserve">Caja Plastica Transparente Para Cds </v>
          </cell>
        </row>
        <row r="1040">
          <cell r="F1040" t="str">
            <v xml:space="preserve">Cds Grabados Programa Monitoreo </v>
          </cell>
        </row>
        <row r="1041">
          <cell r="F1041" t="str">
            <v xml:space="preserve">Cd Con Informacion Snies Y </v>
          </cell>
        </row>
        <row r="1042">
          <cell r="F1042" t="str">
            <v>Cd Con Estuche Plastico Individual</v>
          </cell>
        </row>
        <row r="1043">
          <cell r="F1043" t="str">
            <v>Cd 80 Minutos Sony</v>
          </cell>
        </row>
        <row r="1044">
          <cell r="F1044" t="str">
            <v>Cintas Data Tape Dds3 De 12Gb</v>
          </cell>
        </row>
        <row r="1045">
          <cell r="F1045" t="str">
            <v xml:space="preserve">Cd-Room Con Sobre Especial (No </v>
          </cell>
        </row>
        <row r="1046">
          <cell r="F1046" t="str">
            <v xml:space="preserve">Cd Card Con Estuche 55 Mb (No </v>
          </cell>
        </row>
        <row r="1047">
          <cell r="F1047" t="str">
            <v>Cintas D63-125M, D4Mm (Dds-3)</v>
          </cell>
        </row>
        <row r="1048">
          <cell r="F1048" t="str">
            <v xml:space="preserve">Cinta Datacartridge 4Mm 125Mts </v>
          </cell>
        </row>
        <row r="1049">
          <cell r="F1049" t="str">
            <v xml:space="preserve">Cinta Datacartridge 4Mm 150 Mts </v>
          </cell>
        </row>
        <row r="1050">
          <cell r="F1050" t="str">
            <v xml:space="preserve">Cd "Caracterizacion De La </v>
          </cell>
        </row>
        <row r="1051">
          <cell r="F1051" t="str">
            <v>Cd Saber 2002-2003</v>
          </cell>
        </row>
        <row r="1052">
          <cell r="F1052" t="str">
            <v xml:space="preserve">Cd-Rom Multimedia/Evaluacion </v>
          </cell>
        </row>
        <row r="1053">
          <cell r="F1053" t="str">
            <v>Cintas Tape Backup 20/40 Gb Dds4.</v>
          </cell>
        </row>
        <row r="1054">
          <cell r="F1054" t="str">
            <v>Cintas Tape Backup 12/24 Gb Dds3.</v>
          </cell>
        </row>
        <row r="1055">
          <cell r="F1055" t="str">
            <v xml:space="preserve">Cintas Mammoth-2 Tape Drives </v>
          </cell>
        </row>
        <row r="1056">
          <cell r="F1056" t="str">
            <v>Dvd Grabable-R 4.7 Gb</v>
          </cell>
        </row>
        <row r="1057">
          <cell r="F1057" t="str">
            <v>Cd Para Dvd Menos R</v>
          </cell>
        </row>
        <row r="1058">
          <cell r="F1058" t="str">
            <v>Cd-Rom Multimedia Programa Pisa</v>
          </cell>
        </row>
        <row r="1059">
          <cell r="F1059" t="str">
            <v xml:space="preserve">Cintas Para Backup Ultritum 3 Data </v>
          </cell>
        </row>
        <row r="1060">
          <cell r="F1060" t="str">
            <v>Cinta Para Maquina Lectora</v>
          </cell>
        </row>
        <row r="1061">
          <cell r="F1061" t="str">
            <v xml:space="preserve">Cd Grabable Paquete Por 25 </v>
          </cell>
        </row>
        <row r="1062">
          <cell r="F1062" t="str">
            <v xml:space="preserve">Cd Grabable Paquete Por 100 </v>
          </cell>
        </row>
        <row r="1063">
          <cell r="F1063" t="str">
            <v>Cd Con Sobre Individual</v>
          </cell>
        </row>
        <row r="1064">
          <cell r="F1064" t="str">
            <v xml:space="preserve">Cintas Backup Ultrium Lto 3 400/800 </v>
          </cell>
        </row>
        <row r="1065">
          <cell r="F1065" t="str">
            <v>Tinta Windsor Newton</v>
          </cell>
        </row>
        <row r="1066">
          <cell r="F1066" t="str">
            <v>Lupas Mango Plastico</v>
          </cell>
        </row>
        <row r="1067">
          <cell r="F1067" t="str">
            <v>UTILIES Y ARTICULOS DE OF EXCLUIDO</v>
          </cell>
        </row>
        <row r="1069">
          <cell r="F1069" t="str">
            <v xml:space="preserve">UTILES Y ARTICULOS DE </v>
          </cell>
        </row>
        <row r="1070">
          <cell r="F1070" t="str">
            <v>Lapiz Corrector Para Planchas</v>
          </cell>
        </row>
        <row r="1071">
          <cell r="F1071" t="str">
            <v xml:space="preserve">Lapiz Adicionador De Planchas </v>
          </cell>
        </row>
        <row r="1072">
          <cell r="F1072" t="str">
            <v xml:space="preserve">Lapiz Corrector De Planchas </v>
          </cell>
        </row>
        <row r="1074">
          <cell r="F1074" t="str">
            <v>OTROS GASTOS</v>
          </cell>
        </row>
        <row r="1075">
          <cell r="F1075" t="str">
            <v>TINTAS PARA IMPRESION</v>
          </cell>
        </row>
        <row r="1077">
          <cell r="F1077" t="str">
            <v>Toner Impresora Xerox 4505-4510</v>
          </cell>
        </row>
        <row r="1078">
          <cell r="F1078" t="str">
            <v>Toner Impresora Xerox 6R829 Negro</v>
          </cell>
        </row>
        <row r="1079">
          <cell r="F1079" t="str">
            <v>Toner Impresora Xerox 6R832 Azul</v>
          </cell>
        </row>
        <row r="1080">
          <cell r="F1080" t="str">
            <v>Toner Impresora Xerox 6R831 Rojo</v>
          </cell>
        </row>
        <row r="1081">
          <cell r="F1081" t="str">
            <v xml:space="preserve">Toner Impresora Xerox 6R830 </v>
          </cell>
        </row>
        <row r="1082">
          <cell r="F1082" t="str">
            <v xml:space="preserve">Toner Impresora Xerox Liquido </v>
          </cell>
        </row>
        <row r="1083">
          <cell r="F1083" t="str">
            <v>Toner Impresora Xerox 32/24</v>
          </cell>
        </row>
        <row r="1084">
          <cell r="F1084" t="str">
            <v>Toner Impresora Xerox 113R00173</v>
          </cell>
        </row>
        <row r="1085">
          <cell r="F1085" t="str">
            <v xml:space="preserve">Toner Impresora Xerox Negro </v>
          </cell>
        </row>
        <row r="1086">
          <cell r="F1086" t="str">
            <v xml:space="preserve">Toner Impresora Xerox Azul </v>
          </cell>
        </row>
        <row r="1087">
          <cell r="F1087" t="str">
            <v xml:space="preserve">Toner Impresora Xerox Verde </v>
          </cell>
        </row>
        <row r="1088">
          <cell r="F1088" t="str">
            <v>Toner Impresora Xerox 4520</v>
          </cell>
        </row>
        <row r="1089">
          <cell r="F1089" t="str">
            <v>Toner Cyan Xerox Phaser 8860</v>
          </cell>
        </row>
        <row r="1090">
          <cell r="F1090" t="str">
            <v>Toner Magenta Xerox Phaser 8860</v>
          </cell>
        </row>
        <row r="1091">
          <cell r="F1091" t="str">
            <v>Kit De Mantenimiento Xerox 8860</v>
          </cell>
        </row>
        <row r="1092">
          <cell r="F1092" t="str">
            <v>TINTAS PARA IMPRESION</v>
          </cell>
        </row>
        <row r="1093">
          <cell r="F1093" t="str">
            <v>Toner Impresora Canon Bc 02/ Bj240</v>
          </cell>
        </row>
        <row r="1094">
          <cell r="F1094" t="str">
            <v>Toner Impresora Canon Mp 20P</v>
          </cell>
        </row>
        <row r="1095">
          <cell r="F1095" t="str">
            <v>Toner Impresora Canon Bji 642</v>
          </cell>
        </row>
        <row r="1096">
          <cell r="F1096" t="str">
            <v>Toner Impresora Canon Bc-05</v>
          </cell>
        </row>
        <row r="1097">
          <cell r="F1097" t="str">
            <v xml:space="preserve">Toner Impresora Canon Bc 20/Bjc </v>
          </cell>
        </row>
        <row r="1098">
          <cell r="F1098" t="str">
            <v>Toner Impresora Canon Bj-330</v>
          </cell>
        </row>
        <row r="1099">
          <cell r="F1099" t="str">
            <v>Toner Impresora Hp 51625A Color</v>
          </cell>
        </row>
        <row r="1100">
          <cell r="F1100" t="str">
            <v>Toner Impresora Hp 5L,6L C3906A</v>
          </cell>
        </row>
        <row r="1101">
          <cell r="F1101" t="str">
            <v>Toner Impresora Hp 51640Y</v>
          </cell>
        </row>
        <row r="1102">
          <cell r="F1102" t="str">
            <v>Toner Impresora Hp 51640M</v>
          </cell>
        </row>
        <row r="1103">
          <cell r="F1103" t="str">
            <v>Toner Impresora Hp 51640A</v>
          </cell>
        </row>
        <row r="1104">
          <cell r="F1104" t="str">
            <v>Toner Impresora Hp C1823D</v>
          </cell>
        </row>
        <row r="1105">
          <cell r="F1105" t="str">
            <v>Toner Impresora Hp 92274A</v>
          </cell>
        </row>
        <row r="1106">
          <cell r="F1106" t="str">
            <v>Toner Impresora Hp 92295A</v>
          </cell>
        </row>
        <row r="1107">
          <cell r="F1107" t="str">
            <v>Toner Impresora Hp C3900A</v>
          </cell>
        </row>
        <row r="1108">
          <cell r="F1108" t="str">
            <v>Toner Impresora Hp 51649A</v>
          </cell>
        </row>
        <row r="1109">
          <cell r="F1109" t="str">
            <v>Toner Impresora Hp 51626A</v>
          </cell>
        </row>
        <row r="1110">
          <cell r="F1110" t="str">
            <v xml:space="preserve">Toner Impresora Hp Laser Printer </v>
          </cell>
        </row>
        <row r="1111">
          <cell r="F1111" t="str">
            <v xml:space="preserve">Toner Impresora Hp Laser Printer </v>
          </cell>
        </row>
        <row r="1112">
          <cell r="F1112" t="str">
            <v xml:space="preserve">Toner Impresora Hp Laser Printer </v>
          </cell>
        </row>
        <row r="1113">
          <cell r="F1113" t="str">
            <v xml:space="preserve">Toner Impresora Hp Laser Printer </v>
          </cell>
        </row>
        <row r="1114">
          <cell r="F1114" t="str">
            <v>Toner Impresora Hp 92275A</v>
          </cell>
        </row>
        <row r="1115">
          <cell r="F1115" t="str">
            <v xml:space="preserve">Toner Impresora Laser Jet 5 </v>
          </cell>
        </row>
        <row r="1116">
          <cell r="F1116" t="str">
            <v>Toner Impresora Laser Jet 5- Azul</v>
          </cell>
        </row>
        <row r="1117">
          <cell r="F1117" t="str">
            <v xml:space="preserve">Toner Impresora Laser Jet 5 - </v>
          </cell>
        </row>
        <row r="1118">
          <cell r="F1118" t="str">
            <v>Toner Impresora Laser Jet 5 - Negro</v>
          </cell>
        </row>
        <row r="1119">
          <cell r="F1119" t="str">
            <v>Toner Impresora Hp 51641A</v>
          </cell>
        </row>
        <row r="1120">
          <cell r="F1120" t="str">
            <v>Toner Impresora Hp 51645G</v>
          </cell>
        </row>
        <row r="1121">
          <cell r="F1121" t="str">
            <v>Toner Impresora Hp 51629A</v>
          </cell>
        </row>
        <row r="1122">
          <cell r="F1122" t="str">
            <v>Toner Impresora Hp C3903A</v>
          </cell>
        </row>
        <row r="1123">
          <cell r="F1123" t="str">
            <v>Toner Impresora Hp 92298A</v>
          </cell>
        </row>
        <row r="1124">
          <cell r="F1124" t="str">
            <v xml:space="preserve">Toner Impresora Hp 2100 C4096A </v>
          </cell>
        </row>
        <row r="1125">
          <cell r="F1125" t="str">
            <v>Toner Impresora Hp C6578D Color</v>
          </cell>
        </row>
        <row r="1126">
          <cell r="F1126" t="str">
            <v>Toner Impresora Hp 51645A</v>
          </cell>
        </row>
        <row r="1127">
          <cell r="F1127" t="str">
            <v>Toner Impresora Hp 1200 C7115A</v>
          </cell>
        </row>
        <row r="1128">
          <cell r="F1128" t="str">
            <v>Cartucho Hp 51629A</v>
          </cell>
        </row>
        <row r="1129">
          <cell r="F1129" t="str">
            <v>Cartucho Hp 51649A</v>
          </cell>
        </row>
        <row r="1130">
          <cell r="F1130" t="str">
            <v xml:space="preserve">Toner Impresora Hp Lj 5P C3903A </v>
          </cell>
        </row>
        <row r="1131">
          <cell r="F1131" t="str">
            <v>Toner Hp Lj 4 Plus 92298A</v>
          </cell>
        </row>
        <row r="1132">
          <cell r="F1132" t="str">
            <v xml:space="preserve">Toner Hp Plus Lj 1200 C7115A (No </v>
          </cell>
        </row>
        <row r="1133">
          <cell r="F1133" t="str">
            <v>Toner Hp Lj 2100 C4096A</v>
          </cell>
        </row>
        <row r="1134">
          <cell r="F1134" t="str">
            <v>Toner Impresora Hp C8543X</v>
          </cell>
        </row>
        <row r="1135">
          <cell r="F1135" t="str">
            <v>Toner Impresora Hp 51640C</v>
          </cell>
        </row>
        <row r="1136">
          <cell r="F1136" t="str">
            <v xml:space="preserve">Toner Impresora Laser Jet 2420 Dn </v>
          </cell>
        </row>
        <row r="1137">
          <cell r="F1137" t="str">
            <v>Toner Impresora Hp 9000Dn</v>
          </cell>
        </row>
        <row r="1138">
          <cell r="F1138" t="str">
            <v xml:space="preserve">Toner Impresora Epson Stylus Color </v>
          </cell>
        </row>
        <row r="1139">
          <cell r="F1139" t="str">
            <v xml:space="preserve">Toner Impresora Epson Stylus </v>
          </cell>
        </row>
        <row r="1140">
          <cell r="F1140" t="str">
            <v xml:space="preserve">Toner Impresora Epson Stylus </v>
          </cell>
        </row>
        <row r="1141">
          <cell r="F1141" t="str">
            <v xml:space="preserve">Toner Impresora Epson Stylus </v>
          </cell>
        </row>
        <row r="1142">
          <cell r="F1142" t="str">
            <v>Toner Fotocopiadora Toshiba 1350</v>
          </cell>
        </row>
        <row r="1143">
          <cell r="F1143" t="str">
            <v xml:space="preserve">Toner Fotocopiadora Minolta </v>
          </cell>
        </row>
        <row r="1144">
          <cell r="F1144" t="str">
            <v xml:space="preserve">Toner Fotocopiadora Ft </v>
          </cell>
        </row>
        <row r="1145">
          <cell r="F1145" t="str">
            <v xml:space="preserve">Toner Fotocopiadora Minolta Rp </v>
          </cell>
        </row>
        <row r="1146">
          <cell r="F1146" t="str">
            <v>Toner Fotocopiadora Toshiba T-5020</v>
          </cell>
        </row>
        <row r="1147">
          <cell r="F1147" t="str">
            <v>Toner Fotocopiadora Toshiba T-62P</v>
          </cell>
        </row>
        <row r="1148">
          <cell r="F1148" t="str">
            <v>Toner Fotocopiadora Toshiba 5020</v>
          </cell>
        </row>
        <row r="1149">
          <cell r="F1149" t="str">
            <v>Toner Fotocopiadora Canon Npg1</v>
          </cell>
        </row>
        <row r="1150">
          <cell r="F1150" t="str">
            <v xml:space="preserve">Toner Fotocopiadora Ricoh Ft </v>
          </cell>
        </row>
        <row r="1151">
          <cell r="F1151" t="str">
            <v xml:space="preserve">Toner Fotocopiadora Canon </v>
          </cell>
        </row>
        <row r="1152">
          <cell r="F1152" t="str">
            <v>Toner Fotocopiadora Canon Npg8</v>
          </cell>
        </row>
        <row r="1153">
          <cell r="F1153" t="str">
            <v>Toner Fotocopiadora Canon Npg4</v>
          </cell>
        </row>
        <row r="1154">
          <cell r="F1154" t="str">
            <v>Toner Fotocopiadora Canon Np 4035</v>
          </cell>
        </row>
        <row r="1155">
          <cell r="F1155" t="str">
            <v xml:space="preserve">Toner Fotocopiadora Canon Np </v>
          </cell>
        </row>
        <row r="1156">
          <cell r="F1156" t="str">
            <v xml:space="preserve">Toner Fotocopiadora Canon </v>
          </cell>
        </row>
        <row r="1157">
          <cell r="F1157" t="str">
            <v xml:space="preserve">Toner Fotocopiadora Xerox </v>
          </cell>
        </row>
        <row r="1158">
          <cell r="F1158" t="str">
            <v xml:space="preserve">Toner O Tinta Para Duplicadora </v>
          </cell>
        </row>
        <row r="1159">
          <cell r="F1159" t="str">
            <v>Toner Fotocopiadora Canon Np 6012</v>
          </cell>
        </row>
        <row r="1160">
          <cell r="F1160" t="str">
            <v>Toner Fax Kxp 455 Fax 3100</v>
          </cell>
        </row>
        <row r="1161">
          <cell r="F1161" t="str">
            <v>Toner Fax Panasonic Kxp 455</v>
          </cell>
        </row>
        <row r="1162">
          <cell r="F1162" t="str">
            <v xml:space="preserve">Toner Tinta Blanco Y Negro Para </v>
          </cell>
        </row>
        <row r="1163">
          <cell r="F1163" t="str">
            <v>Toner Para Fax Panasonic Kf 136A</v>
          </cell>
        </row>
        <row r="1164">
          <cell r="F1164" t="str">
            <v xml:space="preserve">Toner Print Cartridge Para Fax </v>
          </cell>
        </row>
        <row r="1165">
          <cell r="F1165" t="str">
            <v>Toner Fax Panasonic Ref.Kx Fa-53</v>
          </cell>
        </row>
        <row r="1166">
          <cell r="F1166" t="str">
            <v>Toner Fax Panasonic Kxa 144</v>
          </cell>
        </row>
        <row r="1167">
          <cell r="F1167" t="str">
            <v xml:space="preserve">Drum Para Fax Panasonic Kx-A </v>
          </cell>
        </row>
        <row r="1168">
          <cell r="F1168" t="str">
            <v>Tinta Para Fax Kxf 1600 Kxfa 150</v>
          </cell>
        </row>
        <row r="1169">
          <cell r="F1169" t="str">
            <v>Toner Impresora Kyocera Tk-30H</v>
          </cell>
        </row>
        <row r="1170">
          <cell r="F1170" t="str">
            <v xml:space="preserve">Toner Impresora Lexmark Optra </v>
          </cell>
        </row>
        <row r="1171">
          <cell r="F1171" t="str">
            <v xml:space="preserve">Toner Impresora Lexmark Modelo </v>
          </cell>
        </row>
        <row r="1172">
          <cell r="F1172" t="str">
            <v xml:space="preserve">Toner Tk 70 Impresora Kyocera </v>
          </cell>
        </row>
        <row r="1173">
          <cell r="F1173" t="str">
            <v xml:space="preserve">Toner Impresora Lexmark T640Dtn </v>
          </cell>
        </row>
        <row r="1174">
          <cell r="F1174" t="str">
            <v>Toner Impresora Kyocera 953 Tk712</v>
          </cell>
        </row>
        <row r="1175">
          <cell r="F1175" t="str">
            <v>Toner Impresora Laser Unity</v>
          </cell>
        </row>
        <row r="1176">
          <cell r="F1176" t="str">
            <v xml:space="preserve">Kit De Toner Seco Para Lector </v>
          </cell>
        </row>
        <row r="1177">
          <cell r="F1177" t="str">
            <v>Kit De Mantenimiento Hp 9000</v>
          </cell>
        </row>
        <row r="1178">
          <cell r="F1178" t="str">
            <v xml:space="preserve">Kit De Mantenimiento Kyocera Fs </v>
          </cell>
        </row>
        <row r="1179">
          <cell r="F1179" t="str">
            <v xml:space="preserve">Kit De Mantenimiento Kyocera Fs </v>
          </cell>
        </row>
        <row r="1180">
          <cell r="F1180" t="str">
            <v xml:space="preserve">Kit De Mantenimiento Sn/24, </v>
          </cell>
        </row>
        <row r="1181">
          <cell r="F1181" t="str">
            <v>CINTAS PARA IMPRESIÓN</v>
          </cell>
        </row>
        <row r="1183">
          <cell r="F1183" t="str">
            <v>CINTAS PARA IMPRSION</v>
          </cell>
        </row>
        <row r="1184">
          <cell r="F1184" t="str">
            <v xml:space="preserve">Cinta Para Maquina De Escribir </v>
          </cell>
        </row>
        <row r="1185">
          <cell r="F1185" t="str">
            <v xml:space="preserve">Cinta De Seguridad Et-2500 Para </v>
          </cell>
        </row>
        <row r="1186">
          <cell r="F1186" t="str">
            <v>Cinta Para Maquina Memory Writer</v>
          </cell>
        </row>
        <row r="1187">
          <cell r="F1187" t="str">
            <v xml:space="preserve">Cinta Para Maquina De Escribir Ibm </v>
          </cell>
        </row>
        <row r="1188">
          <cell r="F1188" t="str">
            <v xml:space="preserve">Cinta Best Carbon Para Maquina </v>
          </cell>
        </row>
        <row r="1189">
          <cell r="F1189" t="str">
            <v>Cinta Para Maquina Ibm 196 Nukote</v>
          </cell>
        </row>
        <row r="1190">
          <cell r="F1190" t="str">
            <v xml:space="preserve">Cinta Para Maquina De Escribir 82C </v>
          </cell>
        </row>
        <row r="1191">
          <cell r="F1191" t="str">
            <v xml:space="preserve">Cinta Para Maquina Brother </v>
          </cell>
        </row>
        <row r="1192">
          <cell r="F1192" t="str">
            <v xml:space="preserve">Cinta De Serguridad Para Maquina </v>
          </cell>
        </row>
        <row r="1193">
          <cell r="F1193" t="str">
            <v xml:space="preserve">Cinta Correctora Maquina Olivetti </v>
          </cell>
        </row>
        <row r="1194">
          <cell r="F1194" t="str">
            <v>Cinta De Seguridad Maquina Olivetti</v>
          </cell>
        </row>
        <row r="1195">
          <cell r="F1195" t="str">
            <v xml:space="preserve">Cinta Para Maquina Brother Em </v>
          </cell>
        </row>
        <row r="1196">
          <cell r="F1196" t="str">
            <v>Cinta Para Maquina De Escribir 212</v>
          </cell>
        </row>
        <row r="1197">
          <cell r="F1197" t="str">
            <v xml:space="preserve">Cinta Para Maquina Olivetti </v>
          </cell>
        </row>
        <row r="1198">
          <cell r="F1198" t="str">
            <v>Cinta Para Maquina Ibm 2000 6746</v>
          </cell>
        </row>
        <row r="1199">
          <cell r="F1199" t="str">
            <v xml:space="preserve">Cinta Para Maquina De Escribir Ibm </v>
          </cell>
        </row>
        <row r="1200">
          <cell r="F1200" t="str">
            <v>Cinta Para Calculadoras</v>
          </cell>
        </row>
        <row r="1201">
          <cell r="F1201" t="str">
            <v xml:space="preserve">Cinta Para Maquina De Escribir </v>
          </cell>
        </row>
        <row r="1202">
          <cell r="F1202" t="str">
            <v xml:space="preserve">Cinta Para Maquina De Escribir </v>
          </cell>
        </row>
        <row r="1203">
          <cell r="F1203" t="str">
            <v>Cinta Para Maquina Registradora</v>
          </cell>
        </row>
        <row r="1204">
          <cell r="F1204" t="str">
            <v>Cinta Para Maquina Olivetti</v>
          </cell>
        </row>
        <row r="1205">
          <cell r="F1205" t="str">
            <v>Cinta Correctora Maquina Panasonic</v>
          </cell>
        </row>
        <row r="1206">
          <cell r="F1206" t="str">
            <v>Cinta Para Maquina Black Point</v>
          </cell>
        </row>
        <row r="1207">
          <cell r="F1207" t="str">
            <v>Cinta Correctora Para Maquina Ibm</v>
          </cell>
        </row>
        <row r="1208">
          <cell r="F1208" t="str">
            <v>Cinta Para Maquina Olivetti</v>
          </cell>
        </row>
        <row r="1209">
          <cell r="F1209" t="str">
            <v>Cinta Para Maquina Olivetti Etp 510</v>
          </cell>
        </row>
        <row r="1210">
          <cell r="F1210" t="str">
            <v xml:space="preserve">Cinta Correctora Para Maquina </v>
          </cell>
        </row>
        <row r="1211">
          <cell r="F1211" t="str">
            <v>Cinta Magnetica Scoth Ref.176 1/4</v>
          </cell>
        </row>
        <row r="1212">
          <cell r="F1212" t="str">
            <v xml:space="preserve">Cinta Norma Correctora Para </v>
          </cell>
        </row>
        <row r="1213">
          <cell r="F1213" t="str">
            <v>Cinta Para Maquina Memory Writer</v>
          </cell>
        </row>
        <row r="1214">
          <cell r="F1214" t="str">
            <v xml:space="preserve">Cinta Para Maquina De Escribir </v>
          </cell>
        </row>
        <row r="1215">
          <cell r="F1215" t="str">
            <v xml:space="preserve">Cinta Para Maquina Panasonic </v>
          </cell>
        </row>
        <row r="1216">
          <cell r="F1216" t="str">
            <v xml:space="preserve">Cinta Maquina De Escribir Brother </v>
          </cell>
        </row>
        <row r="1217">
          <cell r="F1217" t="str">
            <v>Cinta Para Maquina Franqueadora</v>
          </cell>
        </row>
        <row r="1218">
          <cell r="F1218" t="str">
            <v>Cinta Panasonic Kxe-508 Nylon</v>
          </cell>
        </row>
        <row r="1219">
          <cell r="F1219" t="str">
            <v xml:space="preserve">Cinta Para Maquina Ke-508E Ibm </v>
          </cell>
        </row>
        <row r="1220">
          <cell r="F1220" t="str">
            <v xml:space="preserve">Cinta Bicolor Nylon Para </v>
          </cell>
        </row>
        <row r="1221">
          <cell r="F1221" t="str">
            <v xml:space="preserve">Cinta Impresora Epson Fx-1050 , </v>
          </cell>
        </row>
        <row r="1222">
          <cell r="F1222" t="str">
            <v xml:space="preserve">Cinta Impresora Epson Dfx-5000, </v>
          </cell>
        </row>
        <row r="1223">
          <cell r="F1223" t="str">
            <v xml:space="preserve">Cinta Impresora Epson Lq-2550, </v>
          </cell>
        </row>
        <row r="1224">
          <cell r="F1224" t="str">
            <v>Cinta Impresora Epson 8763</v>
          </cell>
        </row>
        <row r="1225">
          <cell r="F1225" t="str">
            <v xml:space="preserve">Cinta Impresora Epson Ribbon </v>
          </cell>
        </row>
        <row r="1226">
          <cell r="F1226" t="str">
            <v>Cinta Impresora Printronix P300</v>
          </cell>
        </row>
        <row r="1227">
          <cell r="F1227" t="str">
            <v>Cinta Impresora Best Carbon</v>
          </cell>
        </row>
        <row r="1228">
          <cell r="F1228" t="str">
            <v>Cinta Impresora Epson Lq 2550</v>
          </cell>
        </row>
        <row r="1229">
          <cell r="F1229" t="str">
            <v xml:space="preserve">Cinta Impresora Epson 1170/1050 </v>
          </cell>
        </row>
        <row r="1230">
          <cell r="F1230" t="str">
            <v xml:space="preserve">Cinta Impresora Epson 8766 Dfx </v>
          </cell>
        </row>
        <row r="1231">
          <cell r="F1231" t="str">
            <v>Cinta Impresora Black Point</v>
          </cell>
        </row>
        <row r="1232">
          <cell r="F1232" t="str">
            <v>Cinta Impresora Epson 8755</v>
          </cell>
        </row>
        <row r="1233">
          <cell r="F1233" t="str">
            <v>Cinta Impresora Wang 2908342</v>
          </cell>
        </row>
        <row r="1234">
          <cell r="F1234" t="str">
            <v xml:space="preserve">Cinta Impresora Nukote V300-600 </v>
          </cell>
        </row>
        <row r="1235">
          <cell r="F1235" t="str">
            <v xml:space="preserve">Cinta Impresora Epson 8750 Fx850 , </v>
          </cell>
        </row>
        <row r="1236">
          <cell r="F1236" t="str">
            <v>Cinta Impresora Okidata 8723</v>
          </cell>
        </row>
        <row r="1237">
          <cell r="F1237" t="str">
            <v>Cinta Impresora Fujitsu</v>
          </cell>
        </row>
        <row r="1238">
          <cell r="F1238" t="str">
            <v>Cinta Impresora Wang 5577</v>
          </cell>
        </row>
        <row r="1239">
          <cell r="F1239" t="str">
            <v>Cinta Impresora Facit 8000</v>
          </cell>
        </row>
        <row r="1240">
          <cell r="F1240" t="str">
            <v>Cinta Impresora Data Royal 5000</v>
          </cell>
        </row>
        <row r="1241">
          <cell r="F1241" t="str">
            <v>Cinta Impresora Wang 5574</v>
          </cell>
        </row>
        <row r="1242">
          <cell r="F1242" t="str">
            <v>Cinta Zebra 74 Mts X11 Cm</v>
          </cell>
        </row>
        <row r="1243">
          <cell r="F1243" t="str">
            <v xml:space="preserve">Cinta Impresora Epson Dfx 9000 </v>
          </cell>
        </row>
        <row r="1244">
          <cell r="F1244" t="str">
            <v xml:space="preserve">Cinta Ymckt (Color) 500 </v>
          </cell>
        </row>
        <row r="1245">
          <cell r="F1245" t="str">
            <v>Cinta Negra 1500 Impresiones</v>
          </cell>
        </row>
        <row r="1246">
          <cell r="F1246" t="str">
            <v xml:space="preserve">Cinta De Termotransferencia Cera </v>
          </cell>
        </row>
        <row r="1247">
          <cell r="F1247" t="str">
            <v>IMPRESOS Y FORMAS</v>
          </cell>
        </row>
        <row r="1249">
          <cell r="F1249" t="str">
            <v>IMPRESOS Y FORMAS</v>
          </cell>
        </row>
        <row r="1250">
          <cell r="F1250" t="str">
            <v>Forma Continua X1500 2P 14 7/8X11</v>
          </cell>
        </row>
        <row r="1251">
          <cell r="F1251" t="str">
            <v xml:space="preserve">Forma Continua Blanco Logo Centro </v>
          </cell>
        </row>
        <row r="1252">
          <cell r="F1252" t="str">
            <v xml:space="preserve">Forma Continua 10 5/8X11 Rayado </v>
          </cell>
        </row>
        <row r="1253">
          <cell r="F1253" t="str">
            <v xml:space="preserve">Forma Universal Rayado 14 7/8X11 </v>
          </cell>
        </row>
        <row r="1254">
          <cell r="F1254" t="str">
            <v>Forma 14 7/8X11 1 Tintax3000</v>
          </cell>
        </row>
        <row r="1255">
          <cell r="F1255" t="str">
            <v xml:space="preserve">Forma Continua 9 1/2X11 Logo </v>
          </cell>
        </row>
        <row r="1256">
          <cell r="F1256" t="str">
            <v xml:space="preserve">Forma Continua Unilogo 14 7/8X11 </v>
          </cell>
        </row>
        <row r="1257">
          <cell r="F1257" t="str">
            <v>Forma Continua 10 5/8X11 2 Partes</v>
          </cell>
        </row>
        <row r="1258">
          <cell r="F1258" t="str">
            <v>Comprobante De Almacen</v>
          </cell>
        </row>
        <row r="1259">
          <cell r="F1259" t="str">
            <v>Ordenes De Compra</v>
          </cell>
        </row>
        <row r="1260">
          <cell r="F1260" t="str">
            <v xml:space="preserve">Forma Continua 9,5 X 11, 60 </v>
          </cell>
        </row>
        <row r="1261">
          <cell r="F1261" t="str">
            <v>Ordenes De Pago</v>
          </cell>
        </row>
        <row r="1262">
          <cell r="F1262" t="str">
            <v>Comprobante De Almacen</v>
          </cell>
        </row>
        <row r="1263">
          <cell r="F1263" t="str">
            <v xml:space="preserve">Comprobante De Almacen Tamaño 9 </v>
          </cell>
        </row>
        <row r="1264">
          <cell r="F1264" t="str">
            <v xml:space="preserve">Comprobante De Pago 14 7/8X 4 1/4 </v>
          </cell>
        </row>
        <row r="1265">
          <cell r="F1265" t="str">
            <v xml:space="preserve">Compusobre Validacion Basica </v>
          </cell>
        </row>
        <row r="1266">
          <cell r="F1266" t="str">
            <v xml:space="preserve">Compusobre Validacion Educacion </v>
          </cell>
        </row>
        <row r="1267">
          <cell r="F1267" t="str">
            <v xml:space="preserve">Compusobre Validadcion De </v>
          </cell>
        </row>
        <row r="1268">
          <cell r="F1268" t="str">
            <v xml:space="preserve">Forma Continua 9 1/2X11 X 5 1/2 X 1 </v>
          </cell>
        </row>
        <row r="1269">
          <cell r="F1269" t="str">
            <v xml:space="preserve">Formadhesivos C-3 8.6Cmsx2.3 </v>
          </cell>
        </row>
        <row r="1270">
          <cell r="F1270" t="str">
            <v xml:space="preserve">Formas Continuas 10 5/8X11,Bond </v>
          </cell>
        </row>
        <row r="1271">
          <cell r="F1271" t="str">
            <v xml:space="preserve">Formas Continuas 14 7/8X11, Bond </v>
          </cell>
        </row>
        <row r="1272">
          <cell r="F1272" t="str">
            <v xml:space="preserve">Formas Continuas 9 1/2X11 Bond </v>
          </cell>
        </row>
        <row r="1273">
          <cell r="F1273" t="str">
            <v>Ordenes De Compra</v>
          </cell>
        </row>
        <row r="1274">
          <cell r="F1274" t="str">
            <v xml:space="preserve">Ordenes De Compra Tamaño 9 </v>
          </cell>
        </row>
        <row r="1275">
          <cell r="F1275" t="str">
            <v>Sobre Blanco Con Logotipo</v>
          </cell>
        </row>
        <row r="1276">
          <cell r="F1276" t="str">
            <v xml:space="preserve">Acta Compromiso Coordinador De </v>
          </cell>
        </row>
        <row r="1277">
          <cell r="F1277" t="str">
            <v xml:space="preserve">Acta Compromiso Coordinador De </v>
          </cell>
        </row>
        <row r="1278">
          <cell r="F1278" t="str">
            <v>Acta Compromiso Dactiloscopista</v>
          </cell>
        </row>
        <row r="1279">
          <cell r="F1279" t="str">
            <v>Acta De 1A. Sesion Color Azul</v>
          </cell>
        </row>
        <row r="1280">
          <cell r="F1280" t="str">
            <v>Acta De 2A. Sesion Color Verde</v>
          </cell>
        </row>
        <row r="1281">
          <cell r="F1281" t="str">
            <v>Acta De Anulacion</v>
          </cell>
        </row>
        <row r="1282">
          <cell r="F1282" t="str">
            <v xml:space="preserve">Acta De Compromiso Coordinador </v>
          </cell>
        </row>
        <row r="1283">
          <cell r="F1283" t="str">
            <v>Acta De Compromiso Del Delegado</v>
          </cell>
        </row>
        <row r="1284">
          <cell r="F1284" t="str">
            <v>Acta De Compromiso Jefe De Salon</v>
          </cell>
        </row>
        <row r="1285">
          <cell r="F1285" t="str">
            <v xml:space="preserve">Acta De Compromiso Y Evaluacion </v>
          </cell>
        </row>
        <row r="1286">
          <cell r="F1286" t="str">
            <v xml:space="preserve">Acta De Compromiso Y Evaluacion </v>
          </cell>
        </row>
        <row r="1287">
          <cell r="F1287" t="str">
            <v xml:space="preserve">Acta De Compromiso Y Evaluacion </v>
          </cell>
        </row>
        <row r="1288">
          <cell r="F1288" t="str">
            <v xml:space="preserve">Acta De Compromiso Y Evaluacion </v>
          </cell>
        </row>
        <row r="1289">
          <cell r="F1289" t="str">
            <v xml:space="preserve">Acta De Compromiso Y Evaluacion </v>
          </cell>
        </row>
        <row r="1290">
          <cell r="F1290" t="str">
            <v xml:space="preserve">Acta De Comrpmiso Y Evaluacion </v>
          </cell>
        </row>
        <row r="1291">
          <cell r="F1291" t="str">
            <v xml:space="preserve">Acta De Comrpmiso Y Evaluacion </v>
          </cell>
        </row>
        <row r="1292">
          <cell r="F1292" t="str">
            <v xml:space="preserve">Acta De Inicio Y Finalizacion Prueba </v>
          </cell>
        </row>
        <row r="1293">
          <cell r="F1293" t="str">
            <v>Acta De Suplantacion</v>
          </cell>
        </row>
        <row r="1294">
          <cell r="F1294" t="str">
            <v>Acta Documeno No Valido</v>
          </cell>
        </row>
        <row r="1295">
          <cell r="F1295" t="str">
            <v xml:space="preserve">Acta Examinados Documento De </v>
          </cell>
        </row>
        <row r="1296">
          <cell r="F1296" t="str">
            <v>Actas De Grado</v>
          </cell>
        </row>
        <row r="1297">
          <cell r="F1297" t="str">
            <v>Actas De Sesion</v>
          </cell>
        </row>
        <row r="1298">
          <cell r="F1298" t="str">
            <v xml:space="preserve">Afiche 5To-Convocatoria Premio </v>
          </cell>
        </row>
        <row r="1299">
          <cell r="F1299" t="str">
            <v>Afiche Control Tiempo Saber</v>
          </cell>
        </row>
        <row r="1300">
          <cell r="F1300" t="str">
            <v xml:space="preserve">Afiche Cuadro Control Tiempo Pilot </v>
          </cell>
        </row>
        <row r="1301">
          <cell r="F1301" t="str">
            <v>Afiche De Programacion</v>
          </cell>
        </row>
        <row r="1302">
          <cell r="F1302" t="str">
            <v xml:space="preserve">Afiche De Programacion De </v>
          </cell>
        </row>
        <row r="1303">
          <cell r="F1303" t="str">
            <v>Afiche Docentes</v>
          </cell>
        </row>
        <row r="1304">
          <cell r="F1304" t="str">
            <v>Afiche Ecaes</v>
          </cell>
        </row>
        <row r="1305">
          <cell r="F1305" t="str">
            <v xml:space="preserve">Afiche En Blanco Control Tiempo </v>
          </cell>
        </row>
        <row r="1306">
          <cell r="F1306" t="str">
            <v>Afiche Estudio Internacional Civica</v>
          </cell>
        </row>
        <row r="1307">
          <cell r="F1307" t="str">
            <v xml:space="preserve">Afiche Hoja De Respuesta Gigante </v>
          </cell>
        </row>
        <row r="1308">
          <cell r="F1308" t="str">
            <v xml:space="preserve">Afiche Hoja De Respuesta Gigante </v>
          </cell>
        </row>
        <row r="1309">
          <cell r="F1309" t="str">
            <v xml:space="preserve">Afiche Hojas De Respuesta "Prueba </v>
          </cell>
        </row>
        <row r="1310">
          <cell r="F1310" t="str">
            <v>Afiche Horizontal</v>
          </cell>
        </row>
        <row r="1311">
          <cell r="F1311" t="str">
            <v>Afiche Icfes Interactivo</v>
          </cell>
        </row>
        <row r="1312">
          <cell r="F1312" t="str">
            <v xml:space="preserve">Afiche Informativo Cuadernillos </v>
          </cell>
        </row>
        <row r="1313">
          <cell r="F1313" t="str">
            <v xml:space="preserve">Afiche Ix Congreso Nacional De </v>
          </cell>
        </row>
        <row r="1314">
          <cell r="F1314" t="str">
            <v xml:space="preserve">Afiche Mural De Los Caballos 3Er </v>
          </cell>
        </row>
        <row r="1315">
          <cell r="F1315" t="str">
            <v xml:space="preserve">Afiche Mural Latinoamericano 6To </v>
          </cell>
        </row>
        <row r="1316">
          <cell r="F1316" t="str">
            <v>Afiche No Uso Del Celular</v>
          </cell>
        </row>
        <row r="1317">
          <cell r="F1317" t="str">
            <v xml:space="preserve">Afiche Para Cartelera - Campaña De </v>
          </cell>
        </row>
        <row r="1318">
          <cell r="F1318" t="str">
            <v>Afiche Pisa</v>
          </cell>
        </row>
        <row r="1319">
          <cell r="F1319" t="str">
            <v>Afiche Pre Saber Calendario A Y B</v>
          </cell>
        </row>
        <row r="1320">
          <cell r="F1320" t="str">
            <v xml:space="preserve">Afiche Preguntas </v>
          </cell>
        </row>
        <row r="1321">
          <cell r="F1321" t="str">
            <v xml:space="preserve">Afiche Preguntas </v>
          </cell>
        </row>
        <row r="1322">
          <cell r="F1322" t="str">
            <v xml:space="preserve">Afiche Programacion 2004 </v>
          </cell>
        </row>
        <row r="1323">
          <cell r="F1323" t="str">
            <v xml:space="preserve">Afiche Promocion Programa Maestro </v>
          </cell>
        </row>
        <row r="1324">
          <cell r="F1324" t="str">
            <v>Afiche Proyecto Civica Iccs 2009</v>
          </cell>
        </row>
        <row r="1325">
          <cell r="F1325" t="str">
            <v>Afiche Prueba Piloto Pisa 2006</v>
          </cell>
        </row>
        <row r="1326">
          <cell r="F1326" t="str">
            <v xml:space="preserve">Afiche Punto De Informacion </v>
          </cell>
        </row>
        <row r="1327">
          <cell r="F1327" t="str">
            <v>Afiche Saber Pro</v>
          </cell>
        </row>
        <row r="1328">
          <cell r="F1328" t="str">
            <v xml:space="preserve">Afiche Seminario Evaluacion </v>
          </cell>
        </row>
        <row r="1329">
          <cell r="F1329" t="str">
            <v xml:space="preserve">Afiche Seminario Internacional 50 X </v>
          </cell>
        </row>
        <row r="1330">
          <cell r="F1330" t="str">
            <v xml:space="preserve">Afiche Seminario Internacional 68 X </v>
          </cell>
        </row>
        <row r="1331">
          <cell r="F1331" t="str">
            <v xml:space="preserve">Afiche Seminario Regional </v>
          </cell>
        </row>
        <row r="1332">
          <cell r="F1332" t="str">
            <v xml:space="preserve">Afiche Seminario Regional </v>
          </cell>
        </row>
        <row r="1333">
          <cell r="F1333" t="str">
            <v>Afiche Seminario Regional -Cali-</v>
          </cell>
        </row>
        <row r="1334">
          <cell r="F1334" t="str">
            <v xml:space="preserve">Afiche Seminario Regional Zona </v>
          </cell>
        </row>
        <row r="1335">
          <cell r="F1335" t="str">
            <v>Afiche Timms</v>
          </cell>
        </row>
        <row r="1336">
          <cell r="F1336" t="str">
            <v>Afiche Vertical Tres Referencias</v>
          </cell>
        </row>
        <row r="1337">
          <cell r="F1337" t="str">
            <v xml:space="preserve">Afiches Calendario Pruebas De </v>
          </cell>
        </row>
        <row r="1338">
          <cell r="F1338" t="str">
            <v>Afiches De Unidades De Agrupacion</v>
          </cell>
        </row>
        <row r="1339">
          <cell r="F1339" t="str">
            <v xml:space="preserve">Afiches Encuentro Iberoamericano </v>
          </cell>
        </row>
        <row r="1340">
          <cell r="F1340" t="str">
            <v>Afiches Saber 11</v>
          </cell>
        </row>
        <row r="1341">
          <cell r="F1341" t="str">
            <v>Afiches Saber 11</v>
          </cell>
        </row>
        <row r="1342">
          <cell r="F1342" t="str">
            <v>Afiches Saber 11 Calendario A Y B</v>
          </cell>
        </row>
        <row r="1343">
          <cell r="F1343" t="str">
            <v xml:space="preserve">Afiches Seminario Regional </v>
          </cell>
        </row>
        <row r="1344">
          <cell r="F1344" t="str">
            <v>Afiches Taller De Preguntas Tipo Cla</v>
          </cell>
        </row>
        <row r="1345">
          <cell r="F1345" t="str">
            <v xml:space="preserve">Analisis De Resultados Ac2005 </v>
          </cell>
        </row>
        <row r="1346">
          <cell r="F1346" t="str">
            <v xml:space="preserve">Analisis De Resultados Ac2005 </v>
          </cell>
        </row>
        <row r="1347">
          <cell r="F1347" t="str">
            <v xml:space="preserve">Analisis De Resultados Ac2005 </v>
          </cell>
        </row>
        <row r="1348">
          <cell r="F1348" t="str">
            <v xml:space="preserve">Analisis De Resultados Ac2005 </v>
          </cell>
        </row>
        <row r="1349">
          <cell r="F1349" t="str">
            <v xml:space="preserve">Analisis De Resultados Ac2005 </v>
          </cell>
        </row>
        <row r="1350">
          <cell r="F1350" t="str">
            <v xml:space="preserve">Analisis De Resultados Ac2005 </v>
          </cell>
        </row>
        <row r="1351">
          <cell r="F1351" t="str">
            <v xml:space="preserve">Analisis De Resultados Ac2005 </v>
          </cell>
        </row>
        <row r="1352">
          <cell r="F1352" t="str">
            <v xml:space="preserve">Analisis De Resultados Ac2005 </v>
          </cell>
        </row>
        <row r="1353">
          <cell r="F1353" t="str">
            <v>Analisis Resultados Biologia</v>
          </cell>
        </row>
        <row r="1354">
          <cell r="F1354" t="str">
            <v xml:space="preserve">Analisis Resultados Ciencias </v>
          </cell>
        </row>
        <row r="1355">
          <cell r="F1355" t="str">
            <v>Analisis Resultados Filosofia</v>
          </cell>
        </row>
        <row r="1356">
          <cell r="F1356" t="str">
            <v>Analisis Resultados Fisica</v>
          </cell>
        </row>
        <row r="1357">
          <cell r="F1357" t="str">
            <v>Analisis Resultados Ingles</v>
          </cell>
        </row>
        <row r="1358">
          <cell r="F1358" t="str">
            <v>Analisis Resultados Lenguaje</v>
          </cell>
        </row>
        <row r="1359">
          <cell r="F1359" t="str">
            <v>Analisis Resultados Matematica</v>
          </cell>
        </row>
        <row r="1360">
          <cell r="F1360" t="str">
            <v>Analisis Resultados Quimica</v>
          </cell>
        </row>
        <row r="1361">
          <cell r="F1361" t="str">
            <v>Anexo 1 Saber</v>
          </cell>
        </row>
        <row r="1362">
          <cell r="F1362" t="str">
            <v>Anexo 2 Saber</v>
          </cell>
        </row>
        <row r="1363">
          <cell r="F1363" t="str">
            <v>Anexo 3 Saber</v>
          </cell>
        </row>
        <row r="1364">
          <cell r="F1364" t="str">
            <v xml:space="preserve">Anexo 4 Formato Preguntas </v>
          </cell>
        </row>
        <row r="1365">
          <cell r="F1365" t="str">
            <v xml:space="preserve">Anexo 5 Formato Novedades </v>
          </cell>
        </row>
        <row r="1366">
          <cell r="F1366" t="str">
            <v>Anexo Manual Coordinador De Salon</v>
          </cell>
        </row>
        <row r="1367">
          <cell r="F1367" t="str">
            <v>Anexo Manual Coordinador De Sitio</v>
          </cell>
        </row>
        <row r="1368">
          <cell r="F1368" t="str">
            <v>Anexo Manual De Delegado</v>
          </cell>
        </row>
        <row r="1369">
          <cell r="F1369" t="str">
            <v>Anexo Manual Jefe De Salon</v>
          </cell>
        </row>
        <row r="1370">
          <cell r="F1370" t="str">
            <v xml:space="preserve">Anexo Manuales Jefe De Salon Y </v>
          </cell>
        </row>
        <row r="1371">
          <cell r="F1371" t="str">
            <v>Anexos</v>
          </cell>
        </row>
        <row r="1372">
          <cell r="F1372" t="str">
            <v xml:space="preserve">Boletin De Licitaciones En La </v>
          </cell>
        </row>
        <row r="1373">
          <cell r="F1373" t="str">
            <v>Boletin En Linea</v>
          </cell>
        </row>
        <row r="1374">
          <cell r="F1374" t="str">
            <v>Boletin Informativo</v>
          </cell>
        </row>
        <row r="1375">
          <cell r="F1375" t="str">
            <v>Boletin Informativo Contorl Interno</v>
          </cell>
        </row>
        <row r="1376">
          <cell r="F1376" t="str">
            <v>Boletin Informativo Icfes</v>
          </cell>
        </row>
        <row r="1377">
          <cell r="F1377" t="str">
            <v xml:space="preserve">Boletin Profesional Escuela </v>
          </cell>
        </row>
        <row r="1378">
          <cell r="F1378" t="str">
            <v xml:space="preserve">Boletin Rueda De Prensa Icfes </v>
          </cell>
        </row>
        <row r="1379">
          <cell r="F1379" t="str">
            <v>Boligrafo Institucional</v>
          </cell>
        </row>
        <row r="1380">
          <cell r="F1380" t="str">
            <v>Calendario 2008</v>
          </cell>
        </row>
        <row r="1381">
          <cell r="F1381" t="str">
            <v>Calendario Institucional Diatc02C</v>
          </cell>
        </row>
        <row r="1382">
          <cell r="F1382" t="str">
            <v>Calendario Programacion 2001</v>
          </cell>
        </row>
        <row r="1383">
          <cell r="F1383" t="str">
            <v xml:space="preserve">Calendario Programacion 2001 En </v>
          </cell>
        </row>
        <row r="1384">
          <cell r="F1384" t="str">
            <v>Caratula Cd Prueba Piloto Pisa 2006</v>
          </cell>
        </row>
        <row r="1385">
          <cell r="F1385" t="str">
            <v>Caratula Cd Seminario Internacional</v>
          </cell>
        </row>
        <row r="1386">
          <cell r="F1386" t="str">
            <v xml:space="preserve">Caratula Cd Taller 1 Seminario </v>
          </cell>
        </row>
        <row r="1387">
          <cell r="F1387" t="str">
            <v xml:space="preserve">Caratula Cd Taller 2 Seminario </v>
          </cell>
        </row>
        <row r="1388">
          <cell r="F1388" t="str">
            <v xml:space="preserve">Caratula Grado 5 Prueba Saber </v>
          </cell>
        </row>
        <row r="1389">
          <cell r="F1389" t="str">
            <v xml:space="preserve">Caratula Grado 9 Prueba Saber </v>
          </cell>
        </row>
        <row r="1390">
          <cell r="F1390" t="str">
            <v>Caratula Portada Cd Akademia 3.1</v>
          </cell>
        </row>
        <row r="1391">
          <cell r="F1391" t="str">
            <v xml:space="preserve">Caratula Seminario Regional </v>
          </cell>
        </row>
        <row r="1392">
          <cell r="F1392" t="str">
            <v>Caratula Seminario Regional Bogota</v>
          </cell>
        </row>
        <row r="1393">
          <cell r="F1393" t="str">
            <v>Caratula Serce</v>
          </cell>
        </row>
        <row r="1394">
          <cell r="F1394" t="str">
            <v xml:space="preserve">Caratula Taller Elaboracion De Items </v>
          </cell>
        </row>
        <row r="1395">
          <cell r="F1395" t="str">
            <v xml:space="preserve">Caratula Taller Items Seminario </v>
          </cell>
        </row>
        <row r="1396">
          <cell r="F1396" t="str">
            <v xml:space="preserve">Caratula Taller Procesamiento De </v>
          </cell>
        </row>
        <row r="1397">
          <cell r="F1397" t="str">
            <v xml:space="preserve">Caratula Taller Procesamiento De </v>
          </cell>
        </row>
        <row r="1398">
          <cell r="F1398" t="str">
            <v xml:space="preserve">Caratula Y Contracaratula Cd </v>
          </cell>
        </row>
        <row r="1399">
          <cell r="F1399" t="str">
            <v xml:space="preserve">Caratulas Adhesivas Cd Resumen </v>
          </cell>
        </row>
        <row r="1400">
          <cell r="F1400" t="str">
            <v xml:space="preserve">Caratulas Para Cd Resultados </v>
          </cell>
        </row>
        <row r="1401">
          <cell r="F1401" t="str">
            <v>Carpeta Aplicadores Y Verificadores</v>
          </cell>
        </row>
        <row r="1402">
          <cell r="F1402" t="str">
            <v>Carpeta Certificados -Toeic-</v>
          </cell>
        </row>
        <row r="1403">
          <cell r="F1403" t="str">
            <v xml:space="preserve">Carpeta Folleto Metasl Y Logros </v>
          </cell>
        </row>
        <row r="1404">
          <cell r="F1404" t="str">
            <v>Carpeta Franquicia Educativa</v>
          </cell>
        </row>
        <row r="1405">
          <cell r="F1405" t="str">
            <v xml:space="preserve">Carpeta Informe Resultados De </v>
          </cell>
        </row>
        <row r="1406">
          <cell r="F1406" t="str">
            <v xml:space="preserve">Carpeta Ix Congreso Nacional De </v>
          </cell>
        </row>
        <row r="1407">
          <cell r="F1407" t="str">
            <v xml:space="preserve">Carpeta Personalizada Saber </v>
          </cell>
        </row>
        <row r="1408">
          <cell r="F1408" t="str">
            <v>Carpeta Pisa</v>
          </cell>
        </row>
        <row r="1409">
          <cell r="F1409" t="str">
            <v>Carpeta Timms</v>
          </cell>
        </row>
        <row r="1410">
          <cell r="F1410" t="str">
            <v xml:space="preserve">Carpetas Catedra Agustin Nieto </v>
          </cell>
        </row>
        <row r="1411">
          <cell r="F1411" t="str">
            <v xml:space="preserve">Carpetas Encuentro Iberoamericano </v>
          </cell>
        </row>
        <row r="1412">
          <cell r="F1412" t="str">
            <v xml:space="preserve">Carpetas Resultados Pruebas Saber </v>
          </cell>
        </row>
        <row r="1413">
          <cell r="F1413" t="str">
            <v>Cartel Celular</v>
          </cell>
        </row>
        <row r="1414">
          <cell r="F1414" t="str">
            <v>Cartel Hora Inicio Y Finalizacion</v>
          </cell>
        </row>
        <row r="1415">
          <cell r="F1415" t="str">
            <v>Cartel Oficina Delegado</v>
          </cell>
        </row>
        <row r="1416">
          <cell r="F1416" t="str">
            <v>Cartel Señalizacion Banos</v>
          </cell>
        </row>
        <row r="1417">
          <cell r="F1417" t="str">
            <v>Cartel Señalizacion Silencio</v>
          </cell>
        </row>
        <row r="1418">
          <cell r="F1418" t="str">
            <v>Carteleras</v>
          </cell>
        </row>
        <row r="1419">
          <cell r="F1419" t="str">
            <v>Carteles Horario De Prueba</v>
          </cell>
        </row>
        <row r="1420">
          <cell r="F1420" t="str">
            <v>Carteles Horario Prueba Sin Hora</v>
          </cell>
        </row>
        <row r="1421">
          <cell r="F1421" t="str">
            <v>Carteles Instrucciones Especificas</v>
          </cell>
        </row>
        <row r="1422">
          <cell r="F1422" t="str">
            <v>Carteles Salon Horarios -Ecaes-</v>
          </cell>
        </row>
        <row r="1423">
          <cell r="F1423" t="str">
            <v xml:space="preserve">Carteles Salon Instrucciones </v>
          </cell>
        </row>
        <row r="1424">
          <cell r="F1424" t="str">
            <v xml:space="preserve">Cartilla Como Son Las Pruebas Que </v>
          </cell>
        </row>
        <row r="1425">
          <cell r="F1425" t="str">
            <v xml:space="preserve">Cartilla Como Son Las Pruebas Que </v>
          </cell>
        </row>
        <row r="1426">
          <cell r="F1426" t="str">
            <v>Cartilla Concurso Procuraduria</v>
          </cell>
        </row>
        <row r="1427">
          <cell r="F1427" t="str">
            <v>Cartilla De Contratacion</v>
          </cell>
        </row>
        <row r="1428">
          <cell r="F1428" t="str">
            <v xml:space="preserve">Cartilla Declaracion De Renta Y </v>
          </cell>
        </row>
        <row r="1429">
          <cell r="F1429" t="str">
            <v>Cartilla Distincion Andres Bello</v>
          </cell>
        </row>
        <row r="1430">
          <cell r="F1430" t="str">
            <v xml:space="preserve">Cartilla Distincion Mejores </v>
          </cell>
        </row>
        <row r="1431">
          <cell r="F1431" t="str">
            <v>Cartilla Documento De Orientacion</v>
          </cell>
        </row>
        <row r="1432">
          <cell r="F1432" t="str">
            <v xml:space="preserve">Cartilla Ecaes _Guia Orientacion </v>
          </cell>
        </row>
        <row r="1433">
          <cell r="F1433" t="str">
            <v xml:space="preserve">Cartilla Ecaes Guia De Orientacion </v>
          </cell>
        </row>
        <row r="1434">
          <cell r="F1434" t="str">
            <v xml:space="preserve">Cartilla Ecaes Guia De Orientacion </v>
          </cell>
        </row>
        <row r="1435">
          <cell r="F1435" t="str">
            <v xml:space="preserve">Cartilla Ecaes Guia De Orientacion </v>
          </cell>
        </row>
        <row r="1436">
          <cell r="F1436" t="str">
            <v xml:space="preserve">Cartilla Ecaes Guia De Orientacion </v>
          </cell>
        </row>
        <row r="1437">
          <cell r="F1437" t="str">
            <v xml:space="preserve">Cartilla Ecaes Guia De Orientacion </v>
          </cell>
        </row>
        <row r="1438">
          <cell r="F1438" t="str">
            <v xml:space="preserve">Cartilla Ecaes Guia De Orientacion </v>
          </cell>
        </row>
        <row r="1439">
          <cell r="F1439" t="str">
            <v xml:space="preserve">Cartilla Ecaes Guia De Orientacion </v>
          </cell>
        </row>
        <row r="1440">
          <cell r="F1440" t="str">
            <v xml:space="preserve">Cartilla Ecaes Guia De Orientacion </v>
          </cell>
        </row>
        <row r="1441">
          <cell r="F1441" t="str">
            <v xml:space="preserve">Cartilla Ecaes Guia De Orientacion </v>
          </cell>
        </row>
        <row r="1442">
          <cell r="F1442" t="str">
            <v xml:space="preserve">Cartilla Ecaes Guia De Orientacion </v>
          </cell>
        </row>
        <row r="1443">
          <cell r="F1443" t="str">
            <v xml:space="preserve">Cartilla Ecaes Guia De Orientacion </v>
          </cell>
        </row>
        <row r="1444">
          <cell r="F1444" t="str">
            <v xml:space="preserve">Cartilla Ecaes Guia De Orientacion </v>
          </cell>
        </row>
        <row r="1445">
          <cell r="F1445" t="str">
            <v xml:space="preserve">Cartilla Ecaes Guia De Orientacion </v>
          </cell>
        </row>
        <row r="1446">
          <cell r="F1446" t="str">
            <v xml:space="preserve">Cartilla Ecaes Guia De Orientacion </v>
          </cell>
        </row>
        <row r="1447">
          <cell r="F1447" t="str">
            <v xml:space="preserve">Cartilla Ecaes Guia De Orientacion </v>
          </cell>
        </row>
        <row r="1448">
          <cell r="F1448" t="str">
            <v xml:space="preserve">Cartilla Ecaes Guia De Orientacion </v>
          </cell>
        </row>
        <row r="1449">
          <cell r="F1449" t="str">
            <v xml:space="preserve">Cartilla Ecaes Guia De Orientacion </v>
          </cell>
        </row>
        <row r="1450">
          <cell r="F1450" t="str">
            <v xml:space="preserve">Cartilla Ecaes Guia De Orientacion </v>
          </cell>
        </row>
        <row r="1451">
          <cell r="F1451" t="str">
            <v xml:space="preserve">Cartilla Ecaes Guia De Orientacion </v>
          </cell>
        </row>
        <row r="1452">
          <cell r="F1452" t="str">
            <v xml:space="preserve">Cartilla Ecaes Guia De Orientacion </v>
          </cell>
        </row>
        <row r="1453">
          <cell r="F1453" t="str">
            <v xml:space="preserve">Cartilla Ecaes Guia De Orientacion </v>
          </cell>
        </row>
        <row r="1454">
          <cell r="F1454" t="str">
            <v xml:space="preserve">Cartilla Ecaes Guia De Orientacion </v>
          </cell>
        </row>
        <row r="1455">
          <cell r="F1455" t="str">
            <v xml:space="preserve">Cartilla Ecaes Guia De Orientacion </v>
          </cell>
        </row>
        <row r="1456">
          <cell r="F1456" t="str">
            <v xml:space="preserve">Cartilla Ecaes Guia De Orientacion </v>
          </cell>
        </row>
        <row r="1457">
          <cell r="F1457" t="str">
            <v xml:space="preserve">Cartilla Ecaes Guia De Orientacion </v>
          </cell>
        </row>
        <row r="1458">
          <cell r="F1458" t="str">
            <v xml:space="preserve">Cartilla Ecaes Guia De Orientacion </v>
          </cell>
        </row>
        <row r="1459">
          <cell r="F1459" t="str">
            <v xml:space="preserve">Cartilla Ecaes Guia De Orientacion </v>
          </cell>
        </row>
        <row r="1460">
          <cell r="F1460" t="str">
            <v xml:space="preserve">Cartilla Ecaes Guia De Orientacion </v>
          </cell>
        </row>
        <row r="1461">
          <cell r="F1461" t="str">
            <v xml:space="preserve">Cartilla Ecaes Guia De Orientacion </v>
          </cell>
        </row>
        <row r="1462">
          <cell r="F1462" t="str">
            <v xml:space="preserve">Cartilla Ecaes Guia De Orientacion </v>
          </cell>
        </row>
        <row r="1463">
          <cell r="F1463" t="str">
            <v xml:space="preserve">Cartilla Ecaes Guia De Orientacion </v>
          </cell>
        </row>
        <row r="1464">
          <cell r="F1464" t="str">
            <v xml:space="preserve">Cartilla Ecaes Guia De Orientacion </v>
          </cell>
        </row>
        <row r="1465">
          <cell r="F1465" t="str">
            <v xml:space="preserve">Cartilla Ecaes Guia De Orientacion </v>
          </cell>
        </row>
        <row r="1466">
          <cell r="F1466" t="str">
            <v xml:space="preserve">Cartilla Ecaes Guia De Orientacion </v>
          </cell>
        </row>
        <row r="1467">
          <cell r="F1467" t="str">
            <v xml:space="preserve">Cartilla Ecaes Guia De Orientacion </v>
          </cell>
        </row>
        <row r="1468">
          <cell r="F1468" t="str">
            <v xml:space="preserve">Cartilla Ecaes Guia De Orientacion </v>
          </cell>
        </row>
        <row r="1469">
          <cell r="F1469" t="str">
            <v xml:space="preserve">Cartilla Ecaes Guia De Orientacion </v>
          </cell>
        </row>
        <row r="1470">
          <cell r="F1470" t="str">
            <v xml:space="preserve">Cartilla Ecaes Guia De Orientacion </v>
          </cell>
        </row>
        <row r="1471">
          <cell r="F1471" t="str">
            <v xml:space="preserve">Cartilla Ecaes Guia De Orientacion </v>
          </cell>
        </row>
        <row r="1472">
          <cell r="F1472" t="str">
            <v xml:space="preserve">Cartilla Ecaes Guia De Orientacion </v>
          </cell>
        </row>
        <row r="1473">
          <cell r="F1473" t="str">
            <v xml:space="preserve">Cartilla Ecaes Guia De Orientacion </v>
          </cell>
        </row>
        <row r="1474">
          <cell r="F1474" t="str">
            <v xml:space="preserve">Cartilla Ecaes Guia De Orientacion </v>
          </cell>
        </row>
        <row r="1475">
          <cell r="F1475" t="str">
            <v xml:space="preserve">Cartilla Ecaes Guia De Orientacion </v>
          </cell>
        </row>
        <row r="1476">
          <cell r="F1476" t="str">
            <v xml:space="preserve">Cartilla Ecaes Guia De Orientacion </v>
          </cell>
        </row>
        <row r="1477">
          <cell r="F1477" t="str">
            <v xml:space="preserve">Cartilla Ecaes Guia De Orientacion </v>
          </cell>
        </row>
        <row r="1478">
          <cell r="F1478" t="str">
            <v xml:space="preserve">Cartilla Ecaes Guia De Orientacion </v>
          </cell>
        </row>
        <row r="1479">
          <cell r="F1479" t="str">
            <v xml:space="preserve">Cartilla Ecaes Guia De Orientacion </v>
          </cell>
        </row>
        <row r="1480">
          <cell r="F1480" t="str">
            <v xml:space="preserve">Cartilla Ecaes Guia De Orientacion </v>
          </cell>
        </row>
        <row r="1481">
          <cell r="F1481" t="str">
            <v xml:space="preserve">Cartilla Ecaes Guia De Orientacion </v>
          </cell>
        </row>
        <row r="1482">
          <cell r="F1482" t="str">
            <v xml:space="preserve">Cartilla Ecaes Guia De Orientacion </v>
          </cell>
        </row>
        <row r="1483">
          <cell r="F1483" t="str">
            <v xml:space="preserve">Cartilla Ecaes Guia De Orientacion </v>
          </cell>
        </row>
        <row r="1484">
          <cell r="F1484" t="str">
            <v xml:space="preserve">Cartilla Ecaes Guia De Orientacion </v>
          </cell>
        </row>
        <row r="1485">
          <cell r="F1485" t="str">
            <v xml:space="preserve">Cartilla Ecaes Guia De Orientacion </v>
          </cell>
        </row>
        <row r="1486">
          <cell r="F1486" t="str">
            <v xml:space="preserve">Cartilla Ecaes Guia De Orientacion </v>
          </cell>
        </row>
        <row r="1487">
          <cell r="F1487" t="str">
            <v xml:space="preserve">Cartilla Ecaes Guia De Orientacion </v>
          </cell>
        </row>
        <row r="1488">
          <cell r="F1488" t="str">
            <v xml:space="preserve">Cartilla Ecaes Guia De Orientacion </v>
          </cell>
        </row>
        <row r="1489">
          <cell r="F1489" t="str">
            <v xml:space="preserve">Cartilla Ecaes Guia De Orientacion </v>
          </cell>
        </row>
        <row r="1490">
          <cell r="F1490" t="str">
            <v xml:space="preserve">Cartilla Ecaes Guia De Orientacion </v>
          </cell>
        </row>
        <row r="1491">
          <cell r="F1491" t="str">
            <v xml:space="preserve">Cartilla Ecaes Guia De Orientacion </v>
          </cell>
        </row>
        <row r="1492">
          <cell r="F1492" t="str">
            <v xml:space="preserve">Cartilla Ecaes Guia De Orientacion </v>
          </cell>
        </row>
        <row r="1493">
          <cell r="F1493" t="str">
            <v xml:space="preserve">Cartilla Ecaes Guia De Orientacion </v>
          </cell>
        </row>
        <row r="1494">
          <cell r="F1494" t="str">
            <v xml:space="preserve">Cartilla Ecaes Guia De Orientacion </v>
          </cell>
        </row>
        <row r="1495">
          <cell r="F1495" t="str">
            <v xml:space="preserve">Cartilla Ecaes Guia De Orientacion </v>
          </cell>
        </row>
        <row r="1496">
          <cell r="F1496" t="str">
            <v xml:space="preserve">Cartilla Ecaes Guia De Orientacion </v>
          </cell>
        </row>
        <row r="1497">
          <cell r="F1497" t="str">
            <v xml:space="preserve">Cartilla Ecaes Guia De Orientacion </v>
          </cell>
        </row>
        <row r="1498">
          <cell r="F1498" t="str">
            <v xml:space="preserve">Cartilla Ecaes Guia De Orientacion </v>
          </cell>
        </row>
        <row r="1499">
          <cell r="F1499" t="str">
            <v xml:space="preserve">Cartilla Ecaes Guia De Orientacion </v>
          </cell>
        </row>
        <row r="1500">
          <cell r="F1500" t="str">
            <v xml:space="preserve">Cartilla Ecaes Guia De Orientacion </v>
          </cell>
        </row>
        <row r="1501">
          <cell r="F1501" t="str">
            <v xml:space="preserve">Cartilla Ecaes Guia De Orientacion </v>
          </cell>
        </row>
        <row r="1502">
          <cell r="F1502" t="str">
            <v xml:space="preserve">Cartilla Ecaes Guia De Orientacion </v>
          </cell>
        </row>
        <row r="1503">
          <cell r="F1503" t="str">
            <v xml:space="preserve">Cartilla Ecaes Guia De Orientacion </v>
          </cell>
        </row>
        <row r="1504">
          <cell r="F1504" t="str">
            <v xml:space="preserve">Cartilla Ecaes Guia De Orientacion </v>
          </cell>
        </row>
        <row r="1505">
          <cell r="F1505" t="str">
            <v xml:space="preserve">Cartilla Ecaes Guia De Orientacion </v>
          </cell>
        </row>
        <row r="1506">
          <cell r="F1506" t="str">
            <v xml:space="preserve">Cartilla Ecaes Guia De Orientacion </v>
          </cell>
        </row>
        <row r="1507">
          <cell r="F1507" t="str">
            <v xml:space="preserve">Cartilla Ecaes Guia De Orientacion </v>
          </cell>
        </row>
        <row r="1508">
          <cell r="F1508" t="str">
            <v xml:space="preserve">Cartilla Ecaes Guia De Orientacion </v>
          </cell>
        </row>
        <row r="1509">
          <cell r="F1509" t="str">
            <v xml:space="preserve">Cartilla Ecaes Guia De Orientacion </v>
          </cell>
        </row>
        <row r="1510">
          <cell r="F1510" t="str">
            <v xml:space="preserve">Cartilla Ecaes Guia De Orientacion </v>
          </cell>
        </row>
        <row r="1511">
          <cell r="F1511" t="str">
            <v xml:space="preserve">Cartilla Ecaes Guia De Orientacion </v>
          </cell>
        </row>
        <row r="1512">
          <cell r="F1512" t="str">
            <v>Cartilla Examen Tipo</v>
          </cell>
        </row>
        <row r="1513">
          <cell r="F1513" t="str">
            <v xml:space="preserve">Cartilla Guia Aplicacion De Pruebas </v>
          </cell>
        </row>
        <row r="1514">
          <cell r="F1514" t="str">
            <v xml:space="preserve">Cartilla Guia De Orientacion </v>
          </cell>
        </row>
        <row r="1515">
          <cell r="F1515" t="str">
            <v xml:space="preserve">Cartilla Guia De Orientacion Ecaes </v>
          </cell>
        </row>
        <row r="1516">
          <cell r="F1516" t="str">
            <v xml:space="preserve">Cartilla Guia De Orientacion Ecaes </v>
          </cell>
        </row>
        <row r="1517">
          <cell r="F1517" t="str">
            <v xml:space="preserve">Cartilla Guia De Orientacion Ecaes </v>
          </cell>
        </row>
        <row r="1518">
          <cell r="F1518" t="str">
            <v xml:space="preserve">Cartilla Guia De Orientacion Eces </v>
          </cell>
        </row>
        <row r="1519">
          <cell r="F1519" t="str">
            <v xml:space="preserve">Cartilla Guia Didactica Nuevo </v>
          </cell>
        </row>
        <row r="1520">
          <cell r="F1520" t="str">
            <v>Cartilla Instructivo Examen Icfes</v>
          </cell>
        </row>
        <row r="1521">
          <cell r="F1521" t="str">
            <v>Cartilla Manual De Procedimientos</v>
          </cell>
        </row>
        <row r="1522">
          <cell r="F1522" t="str">
            <v xml:space="preserve">Cartilla Manual De Procedimientos </v>
          </cell>
        </row>
        <row r="1523">
          <cell r="F1523" t="str">
            <v xml:space="preserve">Cartilla Manual Para El Taller De </v>
          </cell>
        </row>
        <row r="1524">
          <cell r="F1524" t="str">
            <v xml:space="preserve">Cartilla Marco De Interpretacion De </v>
          </cell>
        </row>
        <row r="1525">
          <cell r="F1525" t="str">
            <v xml:space="preserve">Cartilla Marco Interpretacion De </v>
          </cell>
        </row>
        <row r="1526">
          <cell r="F1526" t="str">
            <v xml:space="preserve">Cartilla Plan Estrategico De </v>
          </cell>
        </row>
        <row r="1527">
          <cell r="F1527" t="str">
            <v xml:space="preserve">Cartilla Preparacion Para El Curso </v>
          </cell>
        </row>
        <row r="1528">
          <cell r="F1528" t="str">
            <v xml:space="preserve">Cartilla Programa Validacion Ciclo </v>
          </cell>
        </row>
        <row r="1529">
          <cell r="F1529" t="str">
            <v xml:space="preserve">Cartilla Programa Validacion General </v>
          </cell>
        </row>
        <row r="1530">
          <cell r="F1530" t="str">
            <v xml:space="preserve">Cartilla Programa Validadcion Ciclo </v>
          </cell>
        </row>
        <row r="1531">
          <cell r="F1531" t="str">
            <v>Cartilla Puntajes Altos</v>
          </cell>
        </row>
        <row r="1532">
          <cell r="F1532" t="str">
            <v>Cartilla Registro De Consulta U.A.N</v>
          </cell>
        </row>
        <row r="1533">
          <cell r="F1533" t="str">
            <v xml:space="preserve">Cartilla Retencion En La Fuente </v>
          </cell>
        </row>
        <row r="1534">
          <cell r="F1534" t="str">
            <v>Cartilla Saber Area De Lenguaje</v>
          </cell>
        </row>
        <row r="1535">
          <cell r="F1535" t="str">
            <v xml:space="preserve">Cartilla Saber: Leer Y Escribir En La </v>
          </cell>
        </row>
        <row r="1536">
          <cell r="F1536" t="str">
            <v xml:space="preserve">Cartilla Saber: Matematicas </v>
          </cell>
        </row>
        <row r="1537">
          <cell r="F1537" t="str">
            <v xml:space="preserve">Cartilla Sofware Interactivo- Maestro </v>
          </cell>
        </row>
        <row r="1538">
          <cell r="F1538" t="str">
            <v xml:space="preserve">Cartillas Ecaes Guia De Orientacion </v>
          </cell>
        </row>
        <row r="1539">
          <cell r="F1539" t="str">
            <v xml:space="preserve">Certificacion Participacion Taller </v>
          </cell>
        </row>
        <row r="1540">
          <cell r="F1540" t="str">
            <v>Certificado De Asistencia</v>
          </cell>
        </row>
        <row r="1541">
          <cell r="F1541" t="str">
            <v xml:space="preserve">Certificado De Asistencia A Curso </v>
          </cell>
        </row>
        <row r="1542">
          <cell r="F1542" t="str">
            <v xml:space="preserve">Certificado De Asistencia </v>
          </cell>
        </row>
        <row r="1543">
          <cell r="F1543" t="str">
            <v>Certificado De Asistencia Men</v>
          </cell>
        </row>
        <row r="1544">
          <cell r="F1544" t="str">
            <v xml:space="preserve">Certificado De Asistencia Simposio </v>
          </cell>
        </row>
        <row r="1545">
          <cell r="F1545" t="str">
            <v xml:space="preserve">Certificado De Ingresos Y </v>
          </cell>
        </row>
        <row r="1546">
          <cell r="F1546" t="str">
            <v xml:space="preserve">Certificado De Participacion </v>
          </cell>
        </row>
        <row r="1547">
          <cell r="F1547" t="str">
            <v xml:space="preserve">Certificado De Participacion </v>
          </cell>
        </row>
        <row r="1548">
          <cell r="F1548" t="str">
            <v xml:space="preserve">Certificado De Participacion </v>
          </cell>
        </row>
        <row r="1549">
          <cell r="F1549" t="str">
            <v xml:space="preserve">Certificado De Participacion </v>
          </cell>
        </row>
        <row r="1550">
          <cell r="F1550" t="str">
            <v xml:space="preserve">Certificado De Participacion </v>
          </cell>
        </row>
        <row r="1551">
          <cell r="F1551" t="str">
            <v xml:space="preserve">Certificado De Participacion </v>
          </cell>
        </row>
        <row r="1552">
          <cell r="F1552" t="str">
            <v xml:space="preserve">Certificado Estudiantes Prueba </v>
          </cell>
        </row>
        <row r="1553">
          <cell r="F1553" t="str">
            <v>Certificado Icfes Interactivo</v>
          </cell>
        </row>
        <row r="1554">
          <cell r="F1554" t="str">
            <v xml:space="preserve">Certificado Pisa Estudiante Tipo 2 </v>
          </cell>
        </row>
        <row r="1555">
          <cell r="F1555" t="str">
            <v>Certificado Planteles Proyecto Pisa</v>
          </cell>
        </row>
        <row r="1556">
          <cell r="F1556" t="str">
            <v xml:space="preserve">Certificado Seminario Taller </v>
          </cell>
        </row>
        <row r="1557">
          <cell r="F1557" t="str">
            <v>Certificados Alumnos Proyecto Pisa</v>
          </cell>
        </row>
        <row r="1558">
          <cell r="F1558" t="str">
            <v xml:space="preserve">Certificados De Participacion </v>
          </cell>
        </row>
        <row r="1559">
          <cell r="F1559" t="str">
            <v>Credencial Coordinador De Edificio</v>
          </cell>
        </row>
        <row r="1560">
          <cell r="F1560" t="str">
            <v xml:space="preserve">Credencial Coordinadores De </v>
          </cell>
        </row>
        <row r="1561">
          <cell r="F1561" t="str">
            <v>Credencial Dactiloscopista</v>
          </cell>
        </row>
        <row r="1562">
          <cell r="F1562" t="str">
            <v>Credencial Delegado</v>
          </cell>
        </row>
        <row r="1563">
          <cell r="F1563" t="str">
            <v>Credencial Jefe De Salon</v>
          </cell>
        </row>
        <row r="1564">
          <cell r="F1564" t="str">
            <v xml:space="preserve">Credencial Jefe De Salon -Prueba </v>
          </cell>
        </row>
        <row r="1565">
          <cell r="F1565" t="str">
            <v>Credencial Para Auxiliar</v>
          </cell>
        </row>
        <row r="1566">
          <cell r="F1566" t="str">
            <v xml:space="preserve">Credencial Para Coordinador De </v>
          </cell>
        </row>
        <row r="1567">
          <cell r="F1567" t="str">
            <v xml:space="preserve">Credencial Para Coordinador De </v>
          </cell>
        </row>
        <row r="1568">
          <cell r="F1568" t="str">
            <v xml:space="preserve">Credencial Para Coordinador De </v>
          </cell>
        </row>
        <row r="1569">
          <cell r="F1569" t="str">
            <v xml:space="preserve">Credencial Para Coordinador De </v>
          </cell>
        </row>
        <row r="1570">
          <cell r="F1570" t="str">
            <v xml:space="preserve">Credencial Para Gerente De </v>
          </cell>
        </row>
        <row r="1571">
          <cell r="F1571" t="str">
            <v>Credencial Para Seminario</v>
          </cell>
        </row>
        <row r="1572">
          <cell r="F1572" t="str">
            <v>Credencial Supervisor De Banos</v>
          </cell>
        </row>
        <row r="1573">
          <cell r="F1573" t="str">
            <v>Credencial Visitante</v>
          </cell>
        </row>
        <row r="1574">
          <cell r="F1574" t="str">
            <v>Cuadernillo 1 Ciencias 6 -Serce-</v>
          </cell>
        </row>
        <row r="1575">
          <cell r="F1575" t="str">
            <v>Cuadernillo 1 Escritura 3 -Serce-</v>
          </cell>
        </row>
        <row r="1576">
          <cell r="F1576" t="str">
            <v>Cuadernillo 1 Escritura 6 -Serce-</v>
          </cell>
        </row>
        <row r="1577">
          <cell r="F1577" t="str">
            <v>Cuadernillo 1 Lectura 3 -Serce-</v>
          </cell>
        </row>
        <row r="1578">
          <cell r="F1578" t="str">
            <v>Cuadernillo 1 Lectura 6 -Serce-</v>
          </cell>
        </row>
        <row r="1579">
          <cell r="F1579" t="str">
            <v>Cuadernillo 1 Matematicas 3 -Serce-</v>
          </cell>
        </row>
        <row r="1580">
          <cell r="F1580" t="str">
            <v>Cuadernillo 1 Matematicas 6 -Serce-</v>
          </cell>
        </row>
        <row r="1581">
          <cell r="F1581" t="str">
            <v>Cuadernillo 2 Ciencias 6 -Serce-</v>
          </cell>
        </row>
        <row r="1582">
          <cell r="F1582" t="str">
            <v>Cuadernillo 2 Escritura 3 -Serce-</v>
          </cell>
        </row>
        <row r="1583">
          <cell r="F1583" t="str">
            <v>Cuadernillo 2 Escritura 6 -Serce-</v>
          </cell>
        </row>
        <row r="1584">
          <cell r="F1584" t="str">
            <v>Cuadernillo 2 Lectura 3 -Serce-</v>
          </cell>
        </row>
        <row r="1585">
          <cell r="F1585" t="str">
            <v>Cuadernillo 2 Lectura 6 -Serce-</v>
          </cell>
        </row>
        <row r="1586">
          <cell r="F1586" t="str">
            <v>Cuadernillo 2 Matematicas 3 -Serce-</v>
          </cell>
        </row>
        <row r="1587">
          <cell r="F1587" t="str">
            <v>Cuadernillo 2 Matematicas 6 -Serce-</v>
          </cell>
        </row>
        <row r="1588">
          <cell r="F1588" t="str">
            <v xml:space="preserve">Cuadernillo 2 Taller Seminario </v>
          </cell>
        </row>
        <row r="1589">
          <cell r="F1589" t="str">
            <v>Cuadernillo 3 Ciencias 6 -Serce-</v>
          </cell>
        </row>
        <row r="1590">
          <cell r="F1590" t="str">
            <v>Cuadernillo 3 Escritura 3 -Serce-</v>
          </cell>
        </row>
        <row r="1591">
          <cell r="F1591" t="str">
            <v>Cuadernillo 3 Escritura 6 -Serce-</v>
          </cell>
        </row>
        <row r="1592">
          <cell r="F1592" t="str">
            <v>Cuadernillo 3 Lectura 3 -Serce-</v>
          </cell>
        </row>
        <row r="1593">
          <cell r="F1593" t="str">
            <v>Cuadernillo 3 Lectura 6 -Serce-</v>
          </cell>
        </row>
        <row r="1594">
          <cell r="F1594" t="str">
            <v>Cuadernillo 3 Matematicas 3 -Serce-</v>
          </cell>
        </row>
        <row r="1595">
          <cell r="F1595" t="str">
            <v>Cuadernillo 3 Matematicas 6 -Serce-</v>
          </cell>
        </row>
        <row r="1596">
          <cell r="F1596" t="str">
            <v>Cuadernillo 4 Ciencias 6 -Serce-</v>
          </cell>
        </row>
        <row r="1597">
          <cell r="F1597" t="str">
            <v>Cuadernillo 4 Escritura 3 -Serce-</v>
          </cell>
        </row>
        <row r="1598">
          <cell r="F1598" t="str">
            <v>Cuadernillo 4 Escritura 6 -Serce-</v>
          </cell>
        </row>
        <row r="1599">
          <cell r="F1599" t="str">
            <v>Cuadernillo 4 Lectura 3 -Serce-</v>
          </cell>
        </row>
        <row r="1600">
          <cell r="F1600" t="str">
            <v>Cuadernillo 4 Lectura 6 -Serce-</v>
          </cell>
        </row>
        <row r="1601">
          <cell r="F1601" t="str">
            <v>Cuadernillo 4 Matematicas 3 -Serce-</v>
          </cell>
        </row>
        <row r="1602">
          <cell r="F1602" t="str">
            <v>Cuadernillo 4 Matematicas 6 -Serce-</v>
          </cell>
        </row>
        <row r="1603">
          <cell r="F1603" t="str">
            <v>Cuadernillo 5 Ciencias 6 -Serce-</v>
          </cell>
        </row>
        <row r="1604">
          <cell r="F1604" t="str">
            <v>Cuadernillo 5 Lectura 3 -Serce-</v>
          </cell>
        </row>
        <row r="1605">
          <cell r="F1605" t="str">
            <v>Cuadernillo 5 Lectura 6 -Serce-</v>
          </cell>
        </row>
        <row r="1606">
          <cell r="F1606" t="str">
            <v>Cuadernillo 5 Matematicas 3 -Serce-</v>
          </cell>
        </row>
        <row r="1607">
          <cell r="F1607" t="str">
            <v>Cuadernillo 5 Matematicas 6 -Serce-</v>
          </cell>
        </row>
        <row r="1608">
          <cell r="F1608" t="str">
            <v>Cuadernillo 6 Ciencias 6 -Serce-</v>
          </cell>
        </row>
        <row r="1609">
          <cell r="F1609" t="str">
            <v>Cuadernillo 6 Lectura 3 -Serce-</v>
          </cell>
        </row>
        <row r="1610">
          <cell r="F1610" t="str">
            <v>Cuadernillo 6 Lectura 6 -Serce-</v>
          </cell>
        </row>
        <row r="1611">
          <cell r="F1611" t="str">
            <v>Cuadernillo 6 Matematicas 3 -Serce-</v>
          </cell>
        </row>
        <row r="1612">
          <cell r="F1612" t="str">
            <v>Cuadernillo 6 Matematicas 6 -Serce-</v>
          </cell>
        </row>
        <row r="1613">
          <cell r="F1613" t="str">
            <v>Cuadernillo 7 Lectura 3 -Serce-</v>
          </cell>
        </row>
        <row r="1614">
          <cell r="F1614" t="str">
            <v>Cuadernillo 7 Lectura 6 -Serce-</v>
          </cell>
        </row>
        <row r="1615">
          <cell r="F1615" t="str">
            <v>Cuadernillo 7 Matematicas 3 -Serce-</v>
          </cell>
        </row>
        <row r="1616">
          <cell r="F1616" t="str">
            <v>Cuadernillo 7 Matematicas 6 -Serce-</v>
          </cell>
        </row>
        <row r="1617">
          <cell r="F1617" t="str">
            <v>Cuadernillo 8 Lectura 3 -Serce-</v>
          </cell>
        </row>
        <row r="1618">
          <cell r="F1618" t="str">
            <v>Cuadernillo 8 Lectura 6 -Serce-</v>
          </cell>
        </row>
        <row r="1619">
          <cell r="F1619" t="str">
            <v>Cuadernillo 8 Matematicas 3 -Serce-</v>
          </cell>
        </row>
        <row r="1620">
          <cell r="F1620" t="str">
            <v>Cuadernillo 8 Matematicas 6 -Serce-</v>
          </cell>
        </row>
        <row r="1621">
          <cell r="F1621" t="str">
            <v>Cuadernillo Armada Nacional</v>
          </cell>
        </row>
        <row r="1622">
          <cell r="F1622" t="str">
            <v>Cuadernillo Arquitectura Sesion 1</v>
          </cell>
        </row>
        <row r="1623">
          <cell r="F1623" t="str">
            <v>Cuadernillo Arquitectura Sesion 2</v>
          </cell>
        </row>
        <row r="1624">
          <cell r="F1624" t="str">
            <v xml:space="preserve">Cuadernillo Ciencias 1 Grado 6 </v>
          </cell>
        </row>
        <row r="1625">
          <cell r="F1625" t="str">
            <v xml:space="preserve">Cuadernillo Ciencias 2 Grado 6 </v>
          </cell>
        </row>
        <row r="1626">
          <cell r="F1626" t="str">
            <v xml:space="preserve">Cuadernillo Ciencias 3 Grado 6 </v>
          </cell>
        </row>
        <row r="1627">
          <cell r="F1627" t="str">
            <v xml:space="preserve">Cuadernillo Ciencias 4 Grado 6 </v>
          </cell>
        </row>
        <row r="1628">
          <cell r="F1628" t="str">
            <v xml:space="preserve">Cuadernillo Ciencias 5 Grado 6 </v>
          </cell>
        </row>
        <row r="1629">
          <cell r="F1629" t="str">
            <v xml:space="preserve">Cuadernillo Ciencias 6 Grado 6 </v>
          </cell>
        </row>
        <row r="1630">
          <cell r="F1630" t="str">
            <v xml:space="preserve">Cuadernillo Ciencias Naturales </v>
          </cell>
        </row>
        <row r="1631">
          <cell r="F1631" t="str">
            <v xml:space="preserve">Cuadernillo Ciencias Naturales </v>
          </cell>
        </row>
        <row r="1632">
          <cell r="F1632" t="str">
            <v xml:space="preserve">Cuadernillo Ciencias Sociales Sesion </v>
          </cell>
        </row>
        <row r="1633">
          <cell r="F1633" t="str">
            <v xml:space="preserve">Cuadernillo Ciencias Sociales Sesion </v>
          </cell>
        </row>
        <row r="1634">
          <cell r="F1634" t="str">
            <v xml:space="preserve">Cuadernillo Comprension De Lectura </v>
          </cell>
        </row>
        <row r="1635">
          <cell r="F1635" t="str">
            <v xml:space="preserve">Cuadernillo Comprension De Lectura </v>
          </cell>
        </row>
        <row r="1636">
          <cell r="F1636" t="str">
            <v xml:space="preserve">Cuadernillo Comprension De Lectura </v>
          </cell>
        </row>
        <row r="1637">
          <cell r="F1637" t="str">
            <v xml:space="preserve">Cuadernillo Comprension De Lectura </v>
          </cell>
        </row>
        <row r="1638">
          <cell r="F1638" t="str">
            <v xml:space="preserve">Cuadernillo De Estudiantes Prueba </v>
          </cell>
        </row>
        <row r="1639">
          <cell r="F1639" t="str">
            <v xml:space="preserve">Cuadernillo Ecaes -Ensayos </v>
          </cell>
        </row>
        <row r="1640">
          <cell r="F1640" t="str">
            <v xml:space="preserve">Cuadernillo Ecaes -Lenguas </v>
          </cell>
        </row>
        <row r="1641">
          <cell r="F1641" t="str">
            <v xml:space="preserve">Cuadernillo Ecaes -Lenguas </v>
          </cell>
        </row>
        <row r="1642">
          <cell r="F1642" t="str">
            <v xml:space="preserve">Cuadernillo Ecaes -Lenguas </v>
          </cell>
        </row>
        <row r="1643">
          <cell r="F1643" t="str">
            <v xml:space="preserve">Cuadernillo Ecaes -Licenciatura En </v>
          </cell>
        </row>
        <row r="1644">
          <cell r="F1644" t="str">
            <v xml:space="preserve">Cuadernillo Ecaes -Tecnologico En </v>
          </cell>
        </row>
        <row r="1645">
          <cell r="F1645" t="str">
            <v xml:space="preserve">Cuadernillo Ecaes -Tecnologico En </v>
          </cell>
        </row>
        <row r="1646">
          <cell r="F1646" t="str">
            <v xml:space="preserve">Cuadernillo Escritura 1 Grado 3 </v>
          </cell>
        </row>
        <row r="1647">
          <cell r="F1647" t="str">
            <v xml:space="preserve">Cuadernillo Escritura 1 Grado 6 </v>
          </cell>
        </row>
        <row r="1648">
          <cell r="F1648" t="str">
            <v xml:space="preserve">Cuadernillo Escritura 2 Grado 3 </v>
          </cell>
        </row>
        <row r="1649">
          <cell r="F1649" t="str">
            <v xml:space="preserve">Cuadernillo Escritura 2 Grado 6 </v>
          </cell>
        </row>
        <row r="1650">
          <cell r="F1650" t="str">
            <v xml:space="preserve">Cuadernillo Estudiantes Forma 1 </v>
          </cell>
        </row>
        <row r="1651">
          <cell r="F1651" t="str">
            <v xml:space="preserve">Cuadernillo Estudiantes Forma 2 </v>
          </cell>
        </row>
        <row r="1652">
          <cell r="F1652" t="str">
            <v xml:space="preserve">Cuadernillo Estudiantes -Prueba </v>
          </cell>
        </row>
        <row r="1653">
          <cell r="F1653" t="str">
            <v xml:space="preserve">Cuadernillo Estudiantes -Prueba </v>
          </cell>
        </row>
        <row r="1654">
          <cell r="F1654" t="str">
            <v xml:space="preserve">Cuadernillo Evaluacion Final De </v>
          </cell>
        </row>
        <row r="1655">
          <cell r="F1655" t="str">
            <v>Cuadernillo Fonoaudiologia Sesion 1</v>
          </cell>
        </row>
        <row r="1656">
          <cell r="F1656" t="str">
            <v>Cuadernillo Fonoaudiologia Sesion 2</v>
          </cell>
        </row>
        <row r="1657">
          <cell r="F1657" t="str">
            <v>Cuadernillo Frances Sesion 1</v>
          </cell>
        </row>
        <row r="1658">
          <cell r="F1658" t="str">
            <v>Cuadernillo Frances Sesion 2</v>
          </cell>
        </row>
        <row r="1659">
          <cell r="F1659" t="str">
            <v>Cuadernillo Grado 5 Prueba Saber</v>
          </cell>
        </row>
        <row r="1660">
          <cell r="F1660" t="str">
            <v>Cuadernillo Grado 9 Prueba Saber</v>
          </cell>
        </row>
        <row r="1661">
          <cell r="F1661" t="str">
            <v xml:space="preserve">Cuadernillo Humanidades Enfasis </v>
          </cell>
        </row>
        <row r="1662">
          <cell r="F1662" t="str">
            <v xml:space="preserve">Cuadernillo Ingenieria Agricola </v>
          </cell>
        </row>
        <row r="1663">
          <cell r="F1663" t="str">
            <v xml:space="preserve">Cuadernillo Ingenieria Agricola </v>
          </cell>
        </row>
        <row r="1664">
          <cell r="F1664" t="str">
            <v xml:space="preserve">Cuadernillo Ingenieria Alimentos </v>
          </cell>
        </row>
        <row r="1665">
          <cell r="F1665" t="str">
            <v xml:space="preserve">Cuadernillo Ingenieria Alimentos </v>
          </cell>
        </row>
        <row r="1666">
          <cell r="F1666" t="str">
            <v xml:space="preserve">Cuadernillo Ingenieria Electrica </v>
          </cell>
        </row>
        <row r="1667">
          <cell r="F1667" t="str">
            <v xml:space="preserve">Cuadernillo Ingenieria Electrica </v>
          </cell>
        </row>
        <row r="1668">
          <cell r="F1668" t="str">
            <v xml:space="preserve">Cuadernillo Ingenieria Geologica </v>
          </cell>
        </row>
        <row r="1669">
          <cell r="F1669" t="str">
            <v xml:space="preserve">Cuadernillo Ingenieria Geologica </v>
          </cell>
        </row>
        <row r="1670">
          <cell r="F1670" t="str">
            <v xml:space="preserve">Cuadernillo Ingenieria Materiales </v>
          </cell>
        </row>
        <row r="1671">
          <cell r="F1671" t="str">
            <v xml:space="preserve">Cuadernillo Ingenieria Materiales </v>
          </cell>
        </row>
        <row r="1672">
          <cell r="F1672" t="str">
            <v xml:space="preserve">Cuadernillo Ingenieria Metalurgica </v>
          </cell>
        </row>
        <row r="1673">
          <cell r="F1673" t="str">
            <v xml:space="preserve">Cuadernillo Ingenieria Metalurgica </v>
          </cell>
        </row>
        <row r="1674">
          <cell r="F1674" t="str">
            <v xml:space="preserve">Cuadernillo Ingenieria Minas Sesion </v>
          </cell>
        </row>
        <row r="1675">
          <cell r="F1675" t="str">
            <v xml:space="preserve">Cuadernillo Ingenieria Minas Sesion </v>
          </cell>
        </row>
        <row r="1676">
          <cell r="F1676" t="str">
            <v xml:space="preserve">Cuadernillo Ingenieria </v>
          </cell>
        </row>
        <row r="1677">
          <cell r="F1677" t="str">
            <v xml:space="preserve">Cuadernillo Ingenieria </v>
          </cell>
        </row>
        <row r="1678">
          <cell r="F1678" t="str">
            <v>Cuadernillo Ingles Sesion 1</v>
          </cell>
        </row>
        <row r="1679">
          <cell r="F1679" t="str">
            <v>Cuadernillo Ingles Sesion 2</v>
          </cell>
        </row>
        <row r="1680">
          <cell r="F1680" t="str">
            <v xml:space="preserve">Cuadernillo Lectura 1 Grado 3 -Serce </v>
          </cell>
        </row>
        <row r="1681">
          <cell r="F1681" t="str">
            <v xml:space="preserve">Cuadernillo Lectura 1 Grado 6 -Serce </v>
          </cell>
        </row>
        <row r="1682">
          <cell r="F1682" t="str">
            <v xml:space="preserve">Cuadernillo Lectura 2 Grado 3 -Serce </v>
          </cell>
        </row>
        <row r="1683">
          <cell r="F1683" t="str">
            <v xml:space="preserve">Cuadernillo Lectura 2 Grado 6 -Serce </v>
          </cell>
        </row>
        <row r="1684">
          <cell r="F1684" t="str">
            <v xml:space="preserve">Cuadernillo Lectura 3 Grado 3 -Serce </v>
          </cell>
        </row>
        <row r="1685">
          <cell r="F1685" t="str">
            <v xml:space="preserve">Cuadernillo Lectura 3 Grado 6 -Serce </v>
          </cell>
        </row>
        <row r="1686">
          <cell r="F1686" t="str">
            <v xml:space="preserve">Cuadernillo Lectura 4 Grado 3 -Serce </v>
          </cell>
        </row>
        <row r="1687">
          <cell r="F1687" t="str">
            <v xml:space="preserve">Cuadernillo Lectura 4 Grado 6 -Serce </v>
          </cell>
        </row>
        <row r="1688">
          <cell r="F1688" t="str">
            <v xml:space="preserve">Cuadernillo Lectura 5 Grado 3 -Serce </v>
          </cell>
        </row>
        <row r="1689">
          <cell r="F1689" t="str">
            <v xml:space="preserve">Cuadernillo Lectura 5 Grado 6 -Serce </v>
          </cell>
        </row>
        <row r="1690">
          <cell r="F1690" t="str">
            <v xml:space="preserve">Cuadernillo Lectura 6 Grado 3 -Serce </v>
          </cell>
        </row>
        <row r="1691">
          <cell r="F1691" t="str">
            <v xml:space="preserve">Cuadernillo Lectura 6 Grado 6 -Serce </v>
          </cell>
        </row>
        <row r="1692">
          <cell r="F1692" t="str">
            <v xml:space="preserve">Cuadernillo Lengua Castellana </v>
          </cell>
        </row>
        <row r="1693">
          <cell r="F1693" t="str">
            <v xml:space="preserve">Cuadernillo Lengua Castellana </v>
          </cell>
        </row>
        <row r="1694">
          <cell r="F1694" t="str">
            <v xml:space="preserve">Cuadernillo Lenguas Modernas </v>
          </cell>
        </row>
        <row r="1695">
          <cell r="F1695" t="str">
            <v xml:space="preserve">Cuadernillo Matematica 1 Grado 3 </v>
          </cell>
        </row>
        <row r="1696">
          <cell r="F1696" t="str">
            <v xml:space="preserve">Cuadernillo Matematica 1 Grado 6 </v>
          </cell>
        </row>
        <row r="1697">
          <cell r="F1697" t="str">
            <v xml:space="preserve">Cuadernillo Matematica 2 Grado 3 </v>
          </cell>
        </row>
        <row r="1698">
          <cell r="F1698" t="str">
            <v xml:space="preserve">Cuadernillo Matematica 2 Grado 6 </v>
          </cell>
        </row>
        <row r="1699">
          <cell r="F1699" t="str">
            <v xml:space="preserve">Cuadernillo Matematica 3 Grado 3 </v>
          </cell>
        </row>
        <row r="1700">
          <cell r="F1700" t="str">
            <v xml:space="preserve">Cuadernillo Matematica 3 Grado 6 </v>
          </cell>
        </row>
        <row r="1701">
          <cell r="F1701" t="str">
            <v xml:space="preserve">Cuadernillo Matematica 4 Grado 3 </v>
          </cell>
        </row>
        <row r="1702">
          <cell r="F1702" t="str">
            <v xml:space="preserve">Cuadernillo Matematica 4 Grado 6 </v>
          </cell>
        </row>
        <row r="1703">
          <cell r="F1703" t="str">
            <v xml:space="preserve">Cuadernillo Matematica 5 Grado 3 </v>
          </cell>
        </row>
        <row r="1704">
          <cell r="F1704" t="str">
            <v xml:space="preserve">Cuadernillo Matematica 5 Grado 6 </v>
          </cell>
        </row>
        <row r="1705">
          <cell r="F1705" t="str">
            <v xml:space="preserve">Cuadernillo Matematica 6 Grado 3 </v>
          </cell>
        </row>
        <row r="1706">
          <cell r="F1706" t="str">
            <v xml:space="preserve">Cuadernillo Matematica 6 Grado 6 </v>
          </cell>
        </row>
        <row r="1707">
          <cell r="F1707" t="str">
            <v>Cuadernillo Matematicas Sesion 1</v>
          </cell>
        </row>
        <row r="1708">
          <cell r="F1708" t="str">
            <v>Cuadernillo Matematicas Sesion 2</v>
          </cell>
        </row>
        <row r="1709">
          <cell r="F1709" t="str">
            <v xml:space="preserve">Cuadernillo Nutricion Y Dietetica </v>
          </cell>
        </row>
        <row r="1710">
          <cell r="F1710" t="str">
            <v xml:space="preserve">Cuadernillo Nutricion Y Dietetica </v>
          </cell>
        </row>
        <row r="1711">
          <cell r="F1711" t="str">
            <v>Cuadernillo Optometria Sesion 1</v>
          </cell>
        </row>
        <row r="1712">
          <cell r="F1712" t="str">
            <v>Cuadernillo Optometria Sesion 2</v>
          </cell>
        </row>
        <row r="1713">
          <cell r="F1713" t="str">
            <v>Cuadernillo Preescolar Sesion 1</v>
          </cell>
        </row>
        <row r="1714">
          <cell r="F1714" t="str">
            <v>Cuadernillo Preescolar Sesion 2</v>
          </cell>
        </row>
        <row r="1715">
          <cell r="F1715" t="str">
            <v xml:space="preserve">Cuadernillo Profundizacion Lengua </v>
          </cell>
        </row>
        <row r="1716">
          <cell r="F1716" t="str">
            <v>Cuadernillo Prospecto Seminario</v>
          </cell>
        </row>
        <row r="1717">
          <cell r="F1717" t="str">
            <v xml:space="preserve">Cuadernillo Prueba A Provisionales </v>
          </cell>
        </row>
        <row r="1718">
          <cell r="F1718" t="str">
            <v xml:space="preserve">Cuadernillo Terapia Ocupacional </v>
          </cell>
        </row>
        <row r="1719">
          <cell r="F1719" t="str">
            <v xml:space="preserve">Cuadernillo Terapia Ocupacional </v>
          </cell>
        </row>
        <row r="1720">
          <cell r="F1720" t="str">
            <v>Cuadernillo Unad</v>
          </cell>
        </row>
        <row r="1721">
          <cell r="F1721" t="str">
            <v xml:space="preserve">Cuadernillo Unico Director Qd </v>
          </cell>
        </row>
        <row r="1722">
          <cell r="F1722" t="str">
            <v xml:space="preserve">Cuadernillo Unico Docente Qp </v>
          </cell>
        </row>
        <row r="1723">
          <cell r="F1723" t="str">
            <v>Cuadernillo Unico Familia Qf -Serce-</v>
          </cell>
        </row>
        <row r="1724">
          <cell r="F1724" t="str">
            <v xml:space="preserve">Cuadernillo Unico Grado 3 Qa3 </v>
          </cell>
        </row>
        <row r="1725">
          <cell r="F1725" t="str">
            <v xml:space="preserve">Cuadernillo Unico Grado 6 Qa6 </v>
          </cell>
        </row>
        <row r="1726">
          <cell r="F1726" t="str">
            <v xml:space="preserve">Cuadernillos Consejero Academia </v>
          </cell>
        </row>
        <row r="1727">
          <cell r="F1727" t="str">
            <v xml:space="preserve">Cuadernillos De Examen Academia </v>
          </cell>
        </row>
        <row r="1728">
          <cell r="F1728" t="str">
            <v xml:space="preserve">Cuadernillos Embajador Academia </v>
          </cell>
        </row>
        <row r="1729">
          <cell r="F1729" t="str">
            <v>Cuadernillos Examen Procuraduria</v>
          </cell>
        </row>
        <row r="1730">
          <cell r="F1730" t="str">
            <v xml:space="preserve">Cuadernillos Examen Validacion </v>
          </cell>
        </row>
        <row r="1731">
          <cell r="F1731" t="str">
            <v xml:space="preserve">Cuadernillos Ministro Consejero </v>
          </cell>
        </row>
        <row r="1732">
          <cell r="F1732" t="str">
            <v xml:space="preserve">Cuadernillos Ministro </v>
          </cell>
        </row>
        <row r="1733">
          <cell r="F1733" t="str">
            <v xml:space="preserve">Cuadernillos Primer Secretario </v>
          </cell>
        </row>
        <row r="1734">
          <cell r="F1734" t="str">
            <v xml:space="preserve">Cuadernillos Segundo Secretario </v>
          </cell>
        </row>
        <row r="1735">
          <cell r="F1735" t="str">
            <v>Cuaderno Institucional</v>
          </cell>
        </row>
        <row r="1736">
          <cell r="F1736" t="str">
            <v>Cuaderno Institucional Diatc02C</v>
          </cell>
        </row>
        <row r="1737">
          <cell r="F1737" t="str">
            <v>Cuestionario Aula Saber 2009</v>
          </cell>
        </row>
        <row r="1738">
          <cell r="F1738" t="str">
            <v xml:space="preserve">Cuestionario Ciencias 6° -Serce </v>
          </cell>
        </row>
        <row r="1739">
          <cell r="F1739" t="str">
            <v xml:space="preserve">Cuestionario De Estudiantes Prueba </v>
          </cell>
        </row>
        <row r="1740">
          <cell r="F1740" t="str">
            <v xml:space="preserve">Cuestionario De Estudiantes Prueba </v>
          </cell>
        </row>
        <row r="1741">
          <cell r="F1741" t="str">
            <v>Cuestionario De Padres Piloto Pisa</v>
          </cell>
        </row>
        <row r="1742">
          <cell r="F1742" t="str">
            <v xml:space="preserve">Cuestionario De Padres -Prueba </v>
          </cell>
        </row>
        <row r="1743">
          <cell r="F1743" t="str">
            <v xml:space="preserve">Cuestionario De Planteles Prueba </v>
          </cell>
        </row>
        <row r="1744">
          <cell r="F1744" t="str">
            <v xml:space="preserve">Cuestionario Del Docente 5 Saber </v>
          </cell>
        </row>
        <row r="1745">
          <cell r="F1745" t="str">
            <v>Cuestionario Del Rector Saber</v>
          </cell>
        </row>
        <row r="1746">
          <cell r="F1746" t="str">
            <v>Cuestionario Director -Serce-</v>
          </cell>
        </row>
        <row r="1747">
          <cell r="F1747" t="str">
            <v>Cuestionario Director -Serce P.I.-</v>
          </cell>
        </row>
        <row r="1748">
          <cell r="F1748" t="str">
            <v>Cuestionario Docente -Serce-</v>
          </cell>
        </row>
        <row r="1749">
          <cell r="F1749" t="str">
            <v>Cuestionario Docente -Serce P.I.-</v>
          </cell>
        </row>
        <row r="1750">
          <cell r="F1750" t="str">
            <v xml:space="preserve">Cuestionario Docentes Prueba </v>
          </cell>
        </row>
        <row r="1751">
          <cell r="F1751" t="str">
            <v xml:space="preserve">Cuestionario Enseñanza Ciencias 6 </v>
          </cell>
        </row>
        <row r="1752">
          <cell r="F1752" t="str">
            <v>Cuestionario Enseñanza Ciencias 6°</v>
          </cell>
        </row>
        <row r="1753">
          <cell r="F1753" t="str">
            <v xml:space="preserve">Cuestionario Enseñanza Matematica </v>
          </cell>
        </row>
        <row r="1754">
          <cell r="F1754" t="str">
            <v xml:space="preserve">Cuestionario Enseñanza Matematica </v>
          </cell>
        </row>
        <row r="1755">
          <cell r="F1755" t="str">
            <v xml:space="preserve">Cuestionario Enseñanza </v>
          </cell>
        </row>
        <row r="1756">
          <cell r="F1756" t="str">
            <v xml:space="preserve">Cuestionario Enseñanza </v>
          </cell>
        </row>
        <row r="1757">
          <cell r="F1757" t="str">
            <v xml:space="preserve">Cuestionario Estudiante 3 -Serce </v>
          </cell>
        </row>
        <row r="1758">
          <cell r="F1758" t="str">
            <v>Cuestionario Estudiante 3° -Serce-</v>
          </cell>
        </row>
        <row r="1759">
          <cell r="F1759" t="str">
            <v xml:space="preserve">Cuestionario Estudiante 6 -Serce </v>
          </cell>
        </row>
        <row r="1760">
          <cell r="F1760" t="str">
            <v>Cuestionario Estudiante 6° -Serce-</v>
          </cell>
        </row>
        <row r="1761">
          <cell r="F1761" t="str">
            <v xml:space="preserve">Cuestionario Estudiantes Grado 5 </v>
          </cell>
        </row>
        <row r="1762">
          <cell r="F1762" t="str">
            <v xml:space="preserve">Cuestionario Estudiantes Grado 9 </v>
          </cell>
        </row>
        <row r="1763">
          <cell r="F1763" t="str">
            <v xml:space="preserve">Cuestionario Estudiantes Prueba </v>
          </cell>
        </row>
        <row r="1764">
          <cell r="F1764" t="str">
            <v>Cuestionario Familia -Serce-</v>
          </cell>
        </row>
        <row r="1765">
          <cell r="F1765" t="str">
            <v>Cuestionario Familia -Serce P.I.-</v>
          </cell>
        </row>
        <row r="1766">
          <cell r="F1766" t="str">
            <v>Cuestionario Lenguaje 3 -Serce P.I.-</v>
          </cell>
        </row>
        <row r="1767">
          <cell r="F1767" t="str">
            <v>Cuestionario Lenguaje 3° -Serce-</v>
          </cell>
        </row>
        <row r="1768">
          <cell r="F1768" t="str">
            <v>Cuestionario Lenguaje 6 -Serce P.I.-</v>
          </cell>
        </row>
        <row r="1769">
          <cell r="F1769" t="str">
            <v>Cuestionario Lenguaje 6° -Serce-</v>
          </cell>
        </row>
        <row r="1770">
          <cell r="F1770" t="str">
            <v xml:space="preserve">Cuestionario Matematica 3° -Serce </v>
          </cell>
        </row>
        <row r="1771">
          <cell r="F1771" t="str">
            <v xml:space="preserve">Cuestionario Matematica 6° -Serce </v>
          </cell>
        </row>
        <row r="1772">
          <cell r="F1772" t="str">
            <v>Cuestionario Plantel -Prueba Pisa-</v>
          </cell>
        </row>
        <row r="1773">
          <cell r="F1773" t="str">
            <v>Cuestionario Plantel Prueba Timms</v>
          </cell>
        </row>
        <row r="1774">
          <cell r="F1774" t="str">
            <v>Cuestionario Sede Saber 2009</v>
          </cell>
        </row>
        <row r="1775">
          <cell r="F1775" t="str">
            <v xml:space="preserve">Cuestionario Sociodemografico </v>
          </cell>
        </row>
        <row r="1776">
          <cell r="F1776" t="str">
            <v>Cuestionarios Para Docentes Civica</v>
          </cell>
        </row>
        <row r="1777">
          <cell r="F1777" t="str">
            <v xml:space="preserve">Cuestironario Del Docente 9 Saber </v>
          </cell>
        </row>
        <row r="1778">
          <cell r="F1778" t="str">
            <v xml:space="preserve">Desto2Ad Libros Saber 5 Y 9 </v>
          </cell>
        </row>
        <row r="1779">
          <cell r="F1779" t="str">
            <v xml:space="preserve">Diatc02C Cuaderno Institucional </v>
          </cell>
        </row>
        <row r="1780">
          <cell r="F1780" t="str">
            <v>Diatco2C Volantes Diatco2C Volante</v>
          </cell>
        </row>
        <row r="1781">
          <cell r="F1781" t="str">
            <v xml:space="preserve">Diccionario Enciclopedico De </v>
          </cell>
        </row>
        <row r="1782">
          <cell r="F1782" t="str">
            <v xml:space="preserve">Diccionario Enciclopedico Español- </v>
          </cell>
        </row>
        <row r="1783">
          <cell r="F1783" t="str">
            <v xml:space="preserve">Diccionario Enciclopedico Terminos </v>
          </cell>
        </row>
        <row r="1784">
          <cell r="F1784" t="str">
            <v xml:space="preserve">Diccionario Real Academia Edicion </v>
          </cell>
        </row>
        <row r="1785">
          <cell r="F1785" t="str">
            <v>Diploma Andres Bello Nacional</v>
          </cell>
        </row>
        <row r="1786">
          <cell r="F1786" t="str">
            <v>Diploma Bachiller Academico</v>
          </cell>
        </row>
        <row r="1787">
          <cell r="F1787" t="str">
            <v xml:space="preserve">Diploma Comite Academico Ecaes </v>
          </cell>
        </row>
        <row r="1788">
          <cell r="F1788" t="str">
            <v xml:space="preserve">Diploma Comite Tecnico Ecaes </v>
          </cell>
        </row>
        <row r="1789">
          <cell r="F1789" t="str">
            <v xml:space="preserve">Diploma Constructores Ecaes </v>
          </cell>
        </row>
        <row r="1790">
          <cell r="F1790" t="str">
            <v xml:space="preserve">Diploma Constructores Ecaes </v>
          </cell>
        </row>
        <row r="1791">
          <cell r="F1791" t="str">
            <v>Diploma Contaduria</v>
          </cell>
        </row>
        <row r="1792">
          <cell r="F1792" t="str">
            <v>Diploma De Validacion</v>
          </cell>
        </row>
        <row r="1793">
          <cell r="F1793" t="str">
            <v xml:space="preserve">Diploma Distincion Andres Bello </v>
          </cell>
        </row>
        <row r="1794">
          <cell r="F1794" t="str">
            <v xml:space="preserve">Diploma Elaboracion De Items De </v>
          </cell>
        </row>
        <row r="1795">
          <cell r="F1795" t="str">
            <v xml:space="preserve">Diploma Estudiantes Estudio Civica </v>
          </cell>
        </row>
        <row r="1796">
          <cell r="F1796" t="str">
            <v>Diploma Jueces Ecaes Afadeco</v>
          </cell>
        </row>
        <row r="1797">
          <cell r="F1797" t="str">
            <v>Diploma Jueces Ecaes Economia</v>
          </cell>
        </row>
        <row r="1798">
          <cell r="F1798" t="str">
            <v>Diploma Mejores Ecaes 2004</v>
          </cell>
        </row>
        <row r="1799">
          <cell r="F1799" t="str">
            <v>Diploma Plantel Estudio Civica</v>
          </cell>
        </row>
        <row r="1800">
          <cell r="F1800" t="str">
            <v xml:space="preserve">Diploma Procesamiento De Datos </v>
          </cell>
        </row>
        <row r="1801">
          <cell r="F1801" t="str">
            <v>Diploma Profesores Estudio Civica</v>
          </cell>
        </row>
        <row r="1802">
          <cell r="F1802" t="str">
            <v xml:space="preserve">Diploma Puntajes Altos (Decreto </v>
          </cell>
        </row>
        <row r="1803">
          <cell r="F1803" t="str">
            <v xml:space="preserve">Diploma Puntajes Mas Altos </v>
          </cell>
        </row>
        <row r="1804">
          <cell r="F1804" t="str">
            <v xml:space="preserve">Diploma Puntajes Mas Altos </v>
          </cell>
        </row>
        <row r="1805">
          <cell r="F1805" t="str">
            <v>Diploma Revisores Ecaes Afadeco</v>
          </cell>
        </row>
        <row r="1806">
          <cell r="F1806" t="str">
            <v>Diploma Revisores Ecaes Economia</v>
          </cell>
        </row>
        <row r="1807">
          <cell r="F1807" t="str">
            <v xml:space="preserve">Diploma Seminario De Evaluacion </v>
          </cell>
        </row>
        <row r="1808">
          <cell r="F1808" t="str">
            <v>Diploma Seminario Manizales</v>
          </cell>
        </row>
        <row r="1809">
          <cell r="F1809" t="str">
            <v>Diploma Seminario Regional -Cali-</v>
          </cell>
        </row>
        <row r="1810">
          <cell r="F1810" t="str">
            <v xml:space="preserve">Diploma Seminario Regional De </v>
          </cell>
        </row>
        <row r="1811">
          <cell r="F1811" t="str">
            <v xml:space="preserve">Diploma Taller Elaboracion De Items </v>
          </cell>
        </row>
        <row r="1812">
          <cell r="F1812" t="str">
            <v xml:space="preserve">Diploma Taller Elaboracion Items </v>
          </cell>
        </row>
        <row r="1813">
          <cell r="F1813" t="str">
            <v xml:space="preserve">Diploma Taller Procesamiento De </v>
          </cell>
        </row>
        <row r="1814">
          <cell r="F1814" t="str">
            <v xml:space="preserve">Diploma Taller Procesamiento Y </v>
          </cell>
        </row>
        <row r="1815">
          <cell r="F1815" t="str">
            <v>Diploma Taller Saber 2009</v>
          </cell>
        </row>
        <row r="1816">
          <cell r="F1816" t="str">
            <v xml:space="preserve">Diplomas 14 Y 15 De Febrero Taller </v>
          </cell>
        </row>
        <row r="1817">
          <cell r="F1817" t="str">
            <v xml:space="preserve">Diplomas 15 De Febrero </v>
          </cell>
        </row>
        <row r="1818">
          <cell r="F1818" t="str">
            <v xml:space="preserve">Diplomas 18 De Febrero </v>
          </cell>
        </row>
        <row r="1819">
          <cell r="F1819" t="str">
            <v xml:space="preserve">Diplomas 18 De Febrero Taller </v>
          </cell>
        </row>
        <row r="1820">
          <cell r="F1820" t="str">
            <v xml:space="preserve">Diplomas Comite Organizador </v>
          </cell>
        </row>
        <row r="1821">
          <cell r="F1821" t="str">
            <v xml:space="preserve">Diplomas Conferencistas 15-18 De </v>
          </cell>
        </row>
        <row r="1822">
          <cell r="F1822" t="str">
            <v xml:space="preserve">Diplomas De Validacion Ciclo Medio </v>
          </cell>
        </row>
        <row r="1823">
          <cell r="F1823" t="str">
            <v xml:space="preserve">Diplomas Distincion Andres Bello </v>
          </cell>
        </row>
        <row r="1824">
          <cell r="F1824" t="str">
            <v xml:space="preserve">Diplomas Distincion Andres Bello </v>
          </cell>
        </row>
        <row r="1825">
          <cell r="F1825" t="str">
            <v xml:space="preserve">Diplomas Distincion Andres Bello </v>
          </cell>
        </row>
        <row r="1826">
          <cell r="F1826" t="str">
            <v>Diplomas Ecaes</v>
          </cell>
        </row>
        <row r="1827">
          <cell r="F1827" t="str">
            <v>Diplomas Ecaes 2006</v>
          </cell>
        </row>
        <row r="1828">
          <cell r="F1828" t="str">
            <v xml:space="preserve">Diplomas -Encuentro Iberoamericano </v>
          </cell>
        </row>
        <row r="1829">
          <cell r="F1829" t="str">
            <v>Diplomas Examen De Estado</v>
          </cell>
        </row>
        <row r="1830">
          <cell r="F1830" t="str">
            <v>Diplomas Mejor Puntaje En El Pais</v>
          </cell>
        </row>
        <row r="1831">
          <cell r="F1831" t="str">
            <v xml:space="preserve">Diplomas Mejor Puntaje Por </v>
          </cell>
        </row>
        <row r="1832">
          <cell r="F1832" t="str">
            <v>Diplomas Mejores Ecaes 2005</v>
          </cell>
        </row>
        <row r="1833">
          <cell r="F1833" t="str">
            <v xml:space="preserve">Diplomas Mejores Puntajes Agosto </v>
          </cell>
        </row>
        <row r="1834">
          <cell r="F1834" t="str">
            <v xml:space="preserve">Diplomas Panelistas Seminario </v>
          </cell>
        </row>
        <row r="1835">
          <cell r="F1835" t="str">
            <v xml:space="preserve">Diplomas Participantes 15-18 De </v>
          </cell>
        </row>
        <row r="1836">
          <cell r="F1836" t="str">
            <v>Diplomas Profesores Prueba Ecaes</v>
          </cell>
        </row>
        <row r="1837">
          <cell r="F1837" t="str">
            <v xml:space="preserve">Diplomas Seminario De Evaluacion </v>
          </cell>
        </row>
        <row r="1838">
          <cell r="F1838" t="str">
            <v xml:space="preserve">Diplomas Seminario Evaluacion </v>
          </cell>
        </row>
        <row r="1839">
          <cell r="F1839" t="str">
            <v>Diplomas Seminario Internacional</v>
          </cell>
        </row>
        <row r="1840">
          <cell r="F1840" t="str">
            <v xml:space="preserve">Diplomas Seminario Permanente </v>
          </cell>
        </row>
        <row r="1841">
          <cell r="F1841" t="str">
            <v xml:space="preserve">Diplomas Seminario Regional De </v>
          </cell>
        </row>
        <row r="1842">
          <cell r="F1842" t="str">
            <v>Diplomas Seminario-Taller Acer</v>
          </cell>
        </row>
        <row r="1843">
          <cell r="F1843" t="str">
            <v xml:space="preserve">Diplomas Sobre Capacitacion Y </v>
          </cell>
        </row>
        <row r="1844">
          <cell r="F1844" t="str">
            <v xml:space="preserve">Diplomas Taller Elaboracion De </v>
          </cell>
        </row>
        <row r="1845">
          <cell r="F1845" t="str">
            <v xml:space="preserve">Diplomas Taller Elaboracion De </v>
          </cell>
        </row>
        <row r="1846">
          <cell r="F1846" t="str">
            <v xml:space="preserve">Diplomas Taller Items Seminario </v>
          </cell>
        </row>
        <row r="1847">
          <cell r="F1847" t="str">
            <v xml:space="preserve">Diplomas Taller Procesamiento De </v>
          </cell>
        </row>
        <row r="1848">
          <cell r="F1848" t="str">
            <v xml:space="preserve">Diplomas Taller Procesamiento De </v>
          </cell>
        </row>
        <row r="1849">
          <cell r="F1849" t="str">
            <v xml:space="preserve">Diplomas Taller Procesamiento De </v>
          </cell>
        </row>
        <row r="1850">
          <cell r="F1850" t="str">
            <v xml:space="preserve">Documento Brosechourt -Mision </v>
          </cell>
        </row>
        <row r="1851">
          <cell r="F1851" t="str">
            <v xml:space="preserve">Documento Examen De Estado </v>
          </cell>
        </row>
        <row r="1852">
          <cell r="F1852" t="str">
            <v xml:space="preserve">Documento Informativo Para El </v>
          </cell>
        </row>
        <row r="1853">
          <cell r="F1853" t="str">
            <v xml:space="preserve">Documento Politicas Y Compromiso </v>
          </cell>
        </row>
        <row r="1854">
          <cell r="F1854" t="str">
            <v xml:space="preserve">Documento Propuesta De </v>
          </cell>
        </row>
        <row r="1855">
          <cell r="F1855" t="str">
            <v xml:space="preserve">Documento Reglamento De </v>
          </cell>
        </row>
        <row r="1856">
          <cell r="F1856" t="str">
            <v xml:space="preserve">Documento Reglamento De </v>
          </cell>
        </row>
        <row r="1857">
          <cell r="F1857" t="str">
            <v>Documentos Elaborados Por El Cna</v>
          </cell>
        </row>
        <row r="1858">
          <cell r="F1858" t="str">
            <v xml:space="preserve">Ejemplares Analisis Y Evaluacion </v>
          </cell>
        </row>
        <row r="1859">
          <cell r="F1859" t="str">
            <v xml:space="preserve">Encuesta De Satisfaccion Usuarios </v>
          </cell>
        </row>
        <row r="1860">
          <cell r="F1860" t="str">
            <v>Encuesta -Direccion General-</v>
          </cell>
        </row>
        <row r="1861">
          <cell r="F1861" t="str">
            <v>Encuesta Docentes 5 Saber</v>
          </cell>
        </row>
        <row r="1862">
          <cell r="F1862" t="str">
            <v>Encuesta Docentes 9 Saber</v>
          </cell>
        </row>
        <row r="1863">
          <cell r="F1863" t="str">
            <v xml:space="preserve">Encuesta Estudiantes Prueba Piloto </v>
          </cell>
        </row>
        <row r="1864">
          <cell r="F1864" t="str">
            <v xml:space="preserve">Ensayo Humanidades Y Lengua </v>
          </cell>
        </row>
        <row r="1865">
          <cell r="F1865" t="str">
            <v>Ensayos Licenciaturas -Ecaes-</v>
          </cell>
        </row>
        <row r="1866">
          <cell r="F1866" t="str">
            <v>Escarapela Aplicadores Prueba Pisa</v>
          </cell>
        </row>
        <row r="1867">
          <cell r="F1867" t="str">
            <v xml:space="preserve">Escarapela Coordinadores Prueba </v>
          </cell>
        </row>
        <row r="1868">
          <cell r="F1868" t="str">
            <v xml:space="preserve">Escarapela Taller Captura De Datos </v>
          </cell>
        </row>
        <row r="1869">
          <cell r="F1869" t="str">
            <v>Escarapelas Cna</v>
          </cell>
        </row>
        <row r="1870">
          <cell r="F1870" t="str">
            <v xml:space="preserve">Escarapelas Encuentro </v>
          </cell>
        </row>
        <row r="1871">
          <cell r="F1871" t="str">
            <v>Estampilla Prueba Piloto Pisa 2006</v>
          </cell>
        </row>
        <row r="1872">
          <cell r="F1872" t="str">
            <v xml:space="preserve">Evaluacion Coordinacion De Sitio </v>
          </cell>
        </row>
        <row r="1873">
          <cell r="F1873" t="str">
            <v>Evaluacion Coordinador De Salones</v>
          </cell>
        </row>
        <row r="1874">
          <cell r="F1874" t="str">
            <v>Evaluacion Coordinador De Sitio</v>
          </cell>
        </row>
        <row r="1875">
          <cell r="F1875" t="str">
            <v>Evaluacion De Coordinadores</v>
          </cell>
        </row>
        <row r="1876">
          <cell r="F1876" t="str">
            <v>Evaluacion Jefes De Salon</v>
          </cell>
        </row>
        <row r="1877">
          <cell r="F1877" t="str">
            <v xml:space="preserve">Evaluacion Soordinadores De </v>
          </cell>
        </row>
        <row r="1878">
          <cell r="F1878" t="str">
            <v>Evaluaciones Dactiloscopicas</v>
          </cell>
        </row>
        <row r="1879">
          <cell r="F1879" t="str">
            <v>Factores Asociados</v>
          </cell>
        </row>
        <row r="1880">
          <cell r="F1880" t="str">
            <v>Factores Asociados</v>
          </cell>
        </row>
        <row r="1881">
          <cell r="F1881" t="str">
            <v>Factores Asociados 9 Saber</v>
          </cell>
        </row>
        <row r="1882">
          <cell r="F1882" t="str">
            <v>Factores Asociados Grado 5 Saber</v>
          </cell>
        </row>
        <row r="1883">
          <cell r="F1883" t="str">
            <v>Facturas Institucionales</v>
          </cell>
        </row>
        <row r="1884">
          <cell r="F1884" t="str">
            <v>Farmato Años Anteriores A 1978</v>
          </cell>
        </row>
        <row r="1885">
          <cell r="F1885" t="str">
            <v xml:space="preserve">Ficha De Empadronamiento -Serce </v>
          </cell>
        </row>
        <row r="1886">
          <cell r="F1886" t="str">
            <v>Ficha De Solicitud -Cid-</v>
          </cell>
        </row>
        <row r="1887">
          <cell r="F1887" t="str">
            <v>Ficha Empadronadora Fe Serce</v>
          </cell>
        </row>
        <row r="1888">
          <cell r="F1888" t="str">
            <v>Folleto Atencion Al Ciudadano</v>
          </cell>
        </row>
        <row r="1889">
          <cell r="F1889" t="str">
            <v xml:space="preserve">Folleto Bachilleres Que Obtuvieron </v>
          </cell>
        </row>
        <row r="1890">
          <cell r="F1890" t="str">
            <v xml:space="preserve">Folleto Ceremonia Acreditacion </v>
          </cell>
        </row>
        <row r="1891">
          <cell r="F1891" t="str">
            <v xml:space="preserve">Folleto Conceptos Juridicos </v>
          </cell>
        </row>
        <row r="1892">
          <cell r="F1892" t="str">
            <v xml:space="preserve">Folleto De Informacion Para Talleres </v>
          </cell>
        </row>
        <row r="1893">
          <cell r="F1893" t="str">
            <v>Folleto Distincion Andres Bello</v>
          </cell>
        </row>
        <row r="1894">
          <cell r="F1894" t="str">
            <v xml:space="preserve">Folleto Hemeroteca Nacional </v>
          </cell>
        </row>
        <row r="1895">
          <cell r="F1895" t="str">
            <v>Folleto Informe Cesu</v>
          </cell>
        </row>
        <row r="1896">
          <cell r="F1896" t="str">
            <v>Folleto Mejores Bachilleres</v>
          </cell>
        </row>
        <row r="1897">
          <cell r="F1897" t="str">
            <v xml:space="preserve">Folleto Orientaciones Para Ingresar </v>
          </cell>
        </row>
        <row r="1898">
          <cell r="F1898" t="str">
            <v>Folleto Para Padres De Familia</v>
          </cell>
        </row>
        <row r="1899">
          <cell r="F1899" t="str">
            <v xml:space="preserve">Folleto Premio Nacional Francisca </v>
          </cell>
        </row>
        <row r="1900">
          <cell r="F1900" t="str">
            <v>Folleto Puntajes Altos</v>
          </cell>
        </row>
        <row r="1901">
          <cell r="F1901" t="str">
            <v xml:space="preserve">Folleto Puntajes Altos Nacional (No </v>
          </cell>
        </row>
        <row r="1902">
          <cell r="F1902" t="str">
            <v xml:space="preserve">Folleto Puntajes Mas Altos Categoria </v>
          </cell>
        </row>
        <row r="1903">
          <cell r="F1903" t="str">
            <v xml:space="preserve">Folleto Reseña Historica 5To </v>
          </cell>
        </row>
        <row r="1904">
          <cell r="F1904" t="str">
            <v>Folleto Resoluciones U.A.N</v>
          </cell>
        </row>
        <row r="1905">
          <cell r="F1905" t="str">
            <v>Folleto Saber 11 Calendario A</v>
          </cell>
        </row>
        <row r="1906">
          <cell r="F1906" t="str">
            <v>Folleto Saber 11 Calendario B</v>
          </cell>
        </row>
        <row r="1907">
          <cell r="F1907" t="str">
            <v xml:space="preserve">Folleto Seminario Regional </v>
          </cell>
        </row>
        <row r="1908">
          <cell r="F1908" t="str">
            <v xml:space="preserve">Folleto Seminario Sobre </v>
          </cell>
        </row>
        <row r="1909">
          <cell r="F1909" t="str">
            <v xml:space="preserve">Folleto Seminario Sobre </v>
          </cell>
        </row>
        <row r="1910">
          <cell r="F1910" t="str">
            <v>Folleto Servicios Generales</v>
          </cell>
        </row>
        <row r="1911">
          <cell r="F1911" t="str">
            <v>Folleto Universidad De Caldas</v>
          </cell>
        </row>
        <row r="1912">
          <cell r="F1912" t="str">
            <v>Folletos Icfes</v>
          </cell>
        </row>
        <row r="1913">
          <cell r="F1913" t="str">
            <v xml:space="preserve">Folletos Sobre El Proyecto Centro </v>
          </cell>
        </row>
        <row r="1914">
          <cell r="F1914" t="str">
            <v xml:space="preserve">Folletos Subcomision Acreditacion Y </v>
          </cell>
        </row>
        <row r="1915">
          <cell r="F1915" t="str">
            <v xml:space="preserve">Formato Hoja Evaluacion De </v>
          </cell>
        </row>
        <row r="1916">
          <cell r="F1916" t="str">
            <v xml:space="preserve">Formato Programa Formacion </v>
          </cell>
        </row>
        <row r="1917">
          <cell r="F1917" t="str">
            <v xml:space="preserve">Formato (Rejillas) De Calificacion </v>
          </cell>
        </row>
        <row r="1918">
          <cell r="F1918" t="str">
            <v xml:space="preserve">Formato (Rejillas) De Calificacion </v>
          </cell>
        </row>
        <row r="1919">
          <cell r="F1919" t="str">
            <v>Formato Aclaracion De Datos</v>
          </cell>
        </row>
        <row r="1920">
          <cell r="F1920" t="str">
            <v xml:space="preserve">Formato Acta De Grado Decreto </v>
          </cell>
        </row>
        <row r="1921">
          <cell r="F1921" t="str">
            <v xml:space="preserve">Formato Anexo Al Modulo </v>
          </cell>
        </row>
        <row r="1922">
          <cell r="F1922" t="str">
            <v>Formato Anexo Iii</v>
          </cell>
        </row>
        <row r="1923">
          <cell r="F1923" t="str">
            <v xml:space="preserve">Formato Aspectos Generales Del </v>
          </cell>
        </row>
        <row r="1924">
          <cell r="F1924" t="str">
            <v>Formato Atencion Al Ciudadano</v>
          </cell>
        </row>
        <row r="1925">
          <cell r="F1925" t="str">
            <v xml:space="preserve">Formato Aviso Importante Grupos </v>
          </cell>
        </row>
        <row r="1926">
          <cell r="F1926" t="str">
            <v>Formato Ayudenos A Mejorar</v>
          </cell>
        </row>
        <row r="1927">
          <cell r="F1927" t="str">
            <v xml:space="preserve">Formato Boletin Informativo </v>
          </cell>
        </row>
        <row r="1928">
          <cell r="F1928" t="str">
            <v xml:space="preserve">Formato Calendario Programacion </v>
          </cell>
        </row>
        <row r="1929">
          <cell r="F1929" t="str">
            <v xml:space="preserve">Formato Certificado Asistencia Foro </v>
          </cell>
        </row>
        <row r="1930">
          <cell r="F1930" t="str">
            <v>Formato Certificados Catedra Icfes</v>
          </cell>
        </row>
        <row r="1931">
          <cell r="F1931" t="str">
            <v xml:space="preserve">Formato Control De Legalizacion </v>
          </cell>
        </row>
        <row r="1932">
          <cell r="F1932" t="str">
            <v>Formato Control De Revision</v>
          </cell>
        </row>
        <row r="1933">
          <cell r="F1933" t="str">
            <v>Formato Control De Tiempo (Saber)</v>
          </cell>
        </row>
        <row r="1934">
          <cell r="F1934" t="str">
            <v xml:space="preserve">Formato Control Devolucion Hojas </v>
          </cell>
        </row>
        <row r="1935">
          <cell r="F1935" t="str">
            <v>Formato Correccion De Datos</v>
          </cell>
        </row>
        <row r="1936">
          <cell r="F1936" t="str">
            <v xml:space="preserve">Formato Credencial Coordinador De </v>
          </cell>
        </row>
        <row r="1937">
          <cell r="F1937" t="str">
            <v xml:space="preserve">Formato Credencial Coordinador De </v>
          </cell>
        </row>
        <row r="1938">
          <cell r="F1938" t="str">
            <v xml:space="preserve">Formato Credencial Coordinador De </v>
          </cell>
        </row>
        <row r="1939">
          <cell r="F1939" t="str">
            <v>Formato Credencial Jefe De Salon</v>
          </cell>
        </row>
        <row r="1940">
          <cell r="F1940" t="str">
            <v xml:space="preserve">Formato Cruce De Referencia </v>
          </cell>
        </row>
        <row r="1941">
          <cell r="F1941" t="str">
            <v xml:space="preserve">Formato De Calendario De </v>
          </cell>
        </row>
        <row r="1942">
          <cell r="F1942" t="str">
            <v xml:space="preserve">Formato De Descuentos Para La </v>
          </cell>
        </row>
        <row r="1943">
          <cell r="F1943" t="str">
            <v xml:space="preserve">Formato De Evaluacion Elaboracion </v>
          </cell>
        </row>
        <row r="1944">
          <cell r="F1944" t="str">
            <v xml:space="preserve">Formato De Evaluacion Seminario </v>
          </cell>
        </row>
        <row r="1945">
          <cell r="F1945" t="str">
            <v xml:space="preserve">Formato De Evaluacion Seminario </v>
          </cell>
        </row>
        <row r="1946">
          <cell r="F1946" t="str">
            <v xml:space="preserve">Formato De Evaluacion Taller </v>
          </cell>
        </row>
        <row r="1947">
          <cell r="F1947" t="str">
            <v xml:space="preserve">Formato De Instrucciones </v>
          </cell>
        </row>
        <row r="1948">
          <cell r="F1948" t="str">
            <v>Formato De La Dian</v>
          </cell>
        </row>
        <row r="1949">
          <cell r="F1949" t="str">
            <v>Formato De Notificacion</v>
          </cell>
        </row>
        <row r="1950">
          <cell r="F1950" t="str">
            <v xml:space="preserve">Formato De Pregunta No. 7 Ac 2003 </v>
          </cell>
        </row>
        <row r="1951">
          <cell r="F1951" t="str">
            <v>Formato De Preguntas Dudosas Ac</v>
          </cell>
        </row>
        <row r="1952">
          <cell r="F1952" t="str">
            <v xml:space="preserve">Formato De Resultados Anteriores </v>
          </cell>
        </row>
        <row r="1953">
          <cell r="F1953" t="str">
            <v xml:space="preserve">Formato De Solicitud De Material </v>
          </cell>
        </row>
        <row r="1954">
          <cell r="F1954" t="str">
            <v xml:space="preserve">Formato De Solicitud Y De </v>
          </cell>
        </row>
        <row r="1955">
          <cell r="F1955" t="str">
            <v>Formato De Ubicacion</v>
          </cell>
        </row>
        <row r="1956">
          <cell r="F1956" t="str">
            <v xml:space="preserve">Formato Descuentos Para La </v>
          </cell>
        </row>
        <row r="1957">
          <cell r="F1957" t="str">
            <v xml:space="preserve">Formato Diligenciamiento Y </v>
          </cell>
        </row>
        <row r="1958">
          <cell r="F1958" t="str">
            <v xml:space="preserve">Formato Encuesta Jovenes Y El </v>
          </cell>
        </row>
        <row r="1959">
          <cell r="F1959" t="str">
            <v xml:space="preserve">Formato Estructura Examen De </v>
          </cell>
        </row>
        <row r="1960">
          <cell r="F1960" t="str">
            <v>Formato Evaluacion Asistentes</v>
          </cell>
        </row>
        <row r="1961">
          <cell r="F1961" t="str">
            <v>Formato Evaluacion Coordinadores</v>
          </cell>
        </row>
        <row r="1962">
          <cell r="F1962" t="str">
            <v>Formato Evaluacion Jefe De Salon</v>
          </cell>
        </row>
        <row r="1963">
          <cell r="F1963" t="str">
            <v xml:space="preserve">Formato Evaluacion Procesamiento </v>
          </cell>
        </row>
        <row r="1964">
          <cell r="F1964" t="str">
            <v xml:space="preserve">Formato Evaluacion Seminario </v>
          </cell>
        </row>
        <row r="1965">
          <cell r="F1965" t="str">
            <v xml:space="preserve">Formato Evaluacion Seminario </v>
          </cell>
        </row>
        <row r="1966">
          <cell r="F1966" t="str">
            <v>Formato Evaluacion Taller 1</v>
          </cell>
        </row>
        <row r="1967">
          <cell r="F1967" t="str">
            <v xml:space="preserve">Formato Evaluacion Taller 2 </v>
          </cell>
        </row>
        <row r="1968">
          <cell r="F1968" t="str">
            <v xml:space="preserve">Formato Evaluacion Taller </v>
          </cell>
        </row>
        <row r="1969">
          <cell r="F1969" t="str">
            <v xml:space="preserve">Formato Evaluacion Taller </v>
          </cell>
        </row>
        <row r="1970">
          <cell r="F1970" t="str">
            <v xml:space="preserve">Formato Evaluacion Taller Items </v>
          </cell>
        </row>
        <row r="1971">
          <cell r="F1971" t="str">
            <v xml:space="preserve">Formato Evaluacion Taller </v>
          </cell>
        </row>
        <row r="1972">
          <cell r="F1972" t="str">
            <v xml:space="preserve">Formato Evaluacion Taller </v>
          </cell>
        </row>
        <row r="1973">
          <cell r="F1973" t="str">
            <v xml:space="preserve">Formato Evaluacion Taller Seminario </v>
          </cell>
        </row>
        <row r="1974">
          <cell r="F1974" t="str">
            <v xml:space="preserve">Formato Examen De Estado </v>
          </cell>
        </row>
        <row r="1975">
          <cell r="F1975" t="str">
            <v xml:space="preserve">Formato -Fomento Y Desarrollo Del </v>
          </cell>
        </row>
        <row r="1976">
          <cell r="F1976" t="str">
            <v xml:space="preserve">Formato Fondo De Bienes </v>
          </cell>
        </row>
        <row r="1977">
          <cell r="F1977" t="str">
            <v>Formato Grupos Etnicos</v>
          </cell>
        </row>
        <row r="1978">
          <cell r="F1978" t="str">
            <v>Formato Hoja Armada De Prueba</v>
          </cell>
        </row>
        <row r="1979">
          <cell r="F1979" t="str">
            <v>Formato Hoja Control De Revision</v>
          </cell>
        </row>
        <row r="1980">
          <cell r="F1980" t="str">
            <v xml:space="preserve">Formato Hoja De Respuesta A </v>
          </cell>
        </row>
        <row r="1981">
          <cell r="F1981" t="str">
            <v xml:space="preserve">Formato Hoja Evaluacion De </v>
          </cell>
        </row>
        <row r="1982">
          <cell r="F1982" t="str">
            <v xml:space="preserve">Formato Implantacion Procesos De </v>
          </cell>
        </row>
        <row r="1983">
          <cell r="F1983" t="str">
            <v xml:space="preserve">Formato Informacion Inscripciones </v>
          </cell>
        </row>
        <row r="1984">
          <cell r="F1984" t="str">
            <v xml:space="preserve">Formato Informacion Material </v>
          </cell>
        </row>
        <row r="1985">
          <cell r="F1985" t="str">
            <v xml:space="preserve">Formato Informacion Material </v>
          </cell>
        </row>
        <row r="1986">
          <cell r="F1986" t="str">
            <v xml:space="preserve">Formato Informacion Para </v>
          </cell>
        </row>
        <row r="1987">
          <cell r="F1987" t="str">
            <v>Formato Informe De Rector</v>
          </cell>
        </row>
        <row r="1988">
          <cell r="F1988" t="str">
            <v xml:space="preserve">Formato Informe Del Secretario De </v>
          </cell>
        </row>
        <row r="1989">
          <cell r="F1989" t="str">
            <v xml:space="preserve">Formato Informe Sobre Organizacion </v>
          </cell>
        </row>
        <row r="1990">
          <cell r="F1990" t="str">
            <v xml:space="preserve">Formato Invitacion 5To </v>
          </cell>
        </row>
        <row r="1991">
          <cell r="F1991" t="str">
            <v>Formato Invitacion Rectores</v>
          </cell>
        </row>
        <row r="1992">
          <cell r="F1992" t="str">
            <v>Formato Invitacion Socializaciones</v>
          </cell>
        </row>
        <row r="1993">
          <cell r="F1993" t="str">
            <v xml:space="preserve">Formato Listado De Firmas A Medio </v>
          </cell>
        </row>
        <row r="1994">
          <cell r="F1994" t="str">
            <v>Formato Mensaje Telefonico</v>
          </cell>
        </row>
        <row r="1995">
          <cell r="F1995" t="str">
            <v xml:space="preserve">Formato Monitoreo Saber -Aplicacion </v>
          </cell>
        </row>
        <row r="1996">
          <cell r="F1996" t="str">
            <v xml:space="preserve">Formato Monitoreo Saber </v>
          </cell>
        </row>
        <row r="1997">
          <cell r="F1997" t="str">
            <v>Formato Nomina De Examinadores</v>
          </cell>
        </row>
        <row r="1998">
          <cell r="F1998" t="str">
            <v xml:space="preserve">Formato Nomina De Examinadores </v>
          </cell>
        </row>
        <row r="1999">
          <cell r="F1999" t="str">
            <v xml:space="preserve">Formato Nucleo Comun Y </v>
          </cell>
        </row>
        <row r="2000">
          <cell r="F2000" t="str">
            <v>Formato Nuevo Examen De Estado</v>
          </cell>
        </row>
        <row r="2001">
          <cell r="F2001" t="str">
            <v>Formato Para Copias De Resultados</v>
          </cell>
        </row>
        <row r="2002">
          <cell r="F2002" t="str">
            <v xml:space="preserve">Formato Para Resultados Años </v>
          </cell>
        </row>
        <row r="2003">
          <cell r="F2003" t="str">
            <v xml:space="preserve">Formato Planilla De Control Entrega </v>
          </cell>
        </row>
        <row r="2004">
          <cell r="F2004" t="str">
            <v xml:space="preserve">Formato Planillas Para Consignacion </v>
          </cell>
        </row>
        <row r="2005">
          <cell r="F2005" t="str">
            <v xml:space="preserve">Formato Politica De Calidad De La </v>
          </cell>
        </row>
        <row r="2006">
          <cell r="F2006" t="str">
            <v xml:space="preserve">Formato Pregunta De Ensayo (No </v>
          </cell>
        </row>
        <row r="2007">
          <cell r="F2007" t="str">
            <v xml:space="preserve">Formato Pregunta (Subdireccion </v>
          </cell>
        </row>
        <row r="2008">
          <cell r="F2008" t="str">
            <v xml:space="preserve">Formato Pregunta 7 "Ciudad Donde </v>
          </cell>
        </row>
        <row r="2009">
          <cell r="F2009" t="str">
            <v>Formato Pregunta De Ensayo</v>
          </cell>
        </row>
        <row r="2010">
          <cell r="F2010" t="str">
            <v>Formato Pregunta Definitiva</v>
          </cell>
        </row>
        <row r="2011">
          <cell r="F2011" t="str">
            <v>Formato Pregunta No.7</v>
          </cell>
        </row>
        <row r="2012">
          <cell r="F2012" t="str">
            <v xml:space="preserve">Formato Preguntas Dudosas </v>
          </cell>
        </row>
        <row r="2013">
          <cell r="F2013" t="str">
            <v xml:space="preserve">Formato Programacion De </v>
          </cell>
        </row>
        <row r="2014">
          <cell r="F2014" t="str">
            <v xml:space="preserve">Formato Recibo De Transporte </v>
          </cell>
        </row>
        <row r="2015">
          <cell r="F2015" t="str">
            <v xml:space="preserve">Formato Recibo De Transporte </v>
          </cell>
        </row>
        <row r="2016">
          <cell r="F2016" t="str">
            <v>Formato Recibos De Transporte</v>
          </cell>
        </row>
        <row r="2017">
          <cell r="F2017" t="str">
            <v xml:space="preserve">Formato Red Nacional Universitaria, </v>
          </cell>
        </row>
        <row r="2018">
          <cell r="F2018" t="str">
            <v xml:space="preserve">Formato Rediseño Del </v>
          </cell>
        </row>
        <row r="2019">
          <cell r="F2019" t="str">
            <v xml:space="preserve">Formato Registro De Los Alumnos </v>
          </cell>
        </row>
        <row r="2020">
          <cell r="F2020" t="str">
            <v xml:space="preserve">Formato Relacion Colegios </v>
          </cell>
        </row>
        <row r="2021">
          <cell r="F2021" t="str">
            <v>Formato Relacion De Visitantes</v>
          </cell>
        </row>
        <row r="2022">
          <cell r="F2022" t="str">
            <v xml:space="preserve">Formato Reseña Confrontacion </v>
          </cell>
        </row>
        <row r="2023">
          <cell r="F2023" t="str">
            <v>Formato Reseña Dactilar</v>
          </cell>
        </row>
        <row r="2024">
          <cell r="F2024" t="str">
            <v xml:space="preserve">Formato Resultado De Examen De </v>
          </cell>
        </row>
        <row r="2025">
          <cell r="F2025" t="str">
            <v xml:space="preserve">Formato Resultados Ac-2000 En </v>
          </cell>
        </row>
        <row r="2026">
          <cell r="F2026" t="str">
            <v>Formato Resultados Años Anteriores</v>
          </cell>
        </row>
        <row r="2027">
          <cell r="F2027" t="str">
            <v xml:space="preserve">Formato Resultados Posteriores Año </v>
          </cell>
        </row>
        <row r="2028">
          <cell r="F2028" t="str">
            <v xml:space="preserve">Formato Retencion En La Fuente </v>
          </cell>
        </row>
        <row r="2029">
          <cell r="F2029" t="str">
            <v xml:space="preserve">Formato Rotulo Puerta De Salon (No </v>
          </cell>
        </row>
        <row r="2030">
          <cell r="F2030" t="str">
            <v xml:space="preserve">Formato Rotulo Puerta De Salon (No </v>
          </cell>
        </row>
        <row r="2031">
          <cell r="F2031" t="str">
            <v>Formato Seminario Internacional</v>
          </cell>
        </row>
        <row r="2032">
          <cell r="F2032" t="str">
            <v>Formato Señor Rector</v>
          </cell>
        </row>
        <row r="2033">
          <cell r="F2033" t="str">
            <v>Formato Señor Rector Color Rojo</v>
          </cell>
        </row>
        <row r="2034">
          <cell r="F2034" t="str">
            <v>Formato Solicitud Constancias</v>
          </cell>
        </row>
        <row r="2035">
          <cell r="F2035" t="str">
            <v xml:space="preserve">Formato Tarjeta De Registro De </v>
          </cell>
        </row>
        <row r="2036">
          <cell r="F2036" t="str">
            <v xml:space="preserve">Formato Vigilancia Del Sistema De </v>
          </cell>
        </row>
        <row r="2037">
          <cell r="F2037" t="str">
            <v xml:space="preserve">Formato-Diplomacia </v>
          </cell>
        </row>
        <row r="2038">
          <cell r="F2038" t="str">
            <v xml:space="preserve">Formato-Red Nacional </v>
          </cell>
        </row>
        <row r="2039">
          <cell r="F2039" t="str">
            <v xml:space="preserve">Formulario Automotores </v>
          </cell>
        </row>
        <row r="2040">
          <cell r="F2040" t="str">
            <v xml:space="preserve">Formulario Borrador Hoja 1 Ac2003-1 </v>
          </cell>
        </row>
        <row r="2041">
          <cell r="F2041" t="str">
            <v xml:space="preserve">Formulario Borrador Hoja 1 </v>
          </cell>
        </row>
        <row r="2042">
          <cell r="F2042" t="str">
            <v xml:space="preserve">Formulario Borrador Hoja 1 Examen </v>
          </cell>
        </row>
        <row r="2043">
          <cell r="F2043" t="str">
            <v xml:space="preserve">Formulario Borrador Hoja 2- </v>
          </cell>
        </row>
        <row r="2044">
          <cell r="F2044" t="str">
            <v xml:space="preserve">Formulario Borrador Hoja 2 Examen </v>
          </cell>
        </row>
        <row r="2045">
          <cell r="F2045" t="str">
            <v xml:space="preserve">Formulario Borrador Hoja 2 </v>
          </cell>
        </row>
        <row r="2046">
          <cell r="F2046" t="str">
            <v xml:space="preserve">Formulario Borrador Validacion </v>
          </cell>
        </row>
        <row r="2047">
          <cell r="F2047" t="str">
            <v xml:space="preserve">Formulario Caracterizacion De La </v>
          </cell>
        </row>
        <row r="2048">
          <cell r="F2048" t="str">
            <v xml:space="preserve">Formulario De Inscripcion Examen </v>
          </cell>
        </row>
        <row r="2049">
          <cell r="F2049" t="str">
            <v xml:space="preserve">Formulario De Inscripcion Examen </v>
          </cell>
        </row>
        <row r="2050">
          <cell r="F2050" t="str">
            <v xml:space="preserve">Formulario De Inscripcion Examen </v>
          </cell>
        </row>
        <row r="2051">
          <cell r="F2051" t="str">
            <v xml:space="preserve">Formulario De Inscripcion Hoja 1 </v>
          </cell>
        </row>
        <row r="2052">
          <cell r="F2052" t="str">
            <v xml:space="preserve">Formulario De Inscripcion Hoja 1 </v>
          </cell>
        </row>
        <row r="2053">
          <cell r="F2053" t="str">
            <v xml:space="preserve">Formulario De Inscripcion Hoja 2 </v>
          </cell>
        </row>
        <row r="2054">
          <cell r="F2054" t="str">
            <v>Formulario De Traspaso</v>
          </cell>
        </row>
        <row r="2055">
          <cell r="F2055" t="str">
            <v xml:space="preserve">Formulario Examen De Estado Hoja </v>
          </cell>
        </row>
        <row r="2056">
          <cell r="F2056" t="str">
            <v xml:space="preserve">Formulario Examen De Estado Hoja </v>
          </cell>
        </row>
        <row r="2057">
          <cell r="F2057" t="str">
            <v xml:space="preserve">Formulario Examen De Estado Hoja </v>
          </cell>
        </row>
        <row r="2058">
          <cell r="F2058" t="str">
            <v xml:space="preserve">Formulario Examen De Estado Hoja </v>
          </cell>
        </row>
        <row r="2059">
          <cell r="F2059" t="str">
            <v xml:space="preserve">Formulario Examen De Estado Hoja </v>
          </cell>
        </row>
        <row r="2060">
          <cell r="F2060" t="str">
            <v xml:space="preserve">Formulario Examen De Estado Hoja </v>
          </cell>
        </row>
        <row r="2061">
          <cell r="F2061" t="str">
            <v xml:space="preserve">Formulario Examen De Estado </v>
          </cell>
        </row>
        <row r="2062">
          <cell r="F2062" t="str">
            <v xml:space="preserve">Formulario Hoja 1 Original Ac2002-2 </v>
          </cell>
        </row>
        <row r="2063">
          <cell r="F2063" t="str">
            <v xml:space="preserve">Formulario Hoja 2 Original Ac2002-2 </v>
          </cell>
        </row>
        <row r="2064">
          <cell r="F2064" t="str">
            <v xml:space="preserve">Formulario Impuesto Vehiculo </v>
          </cell>
        </row>
        <row r="2065">
          <cell r="F2065" t="str">
            <v xml:space="preserve">Formulario Inscripcion Borrador </v>
          </cell>
        </row>
        <row r="2066">
          <cell r="F2066" t="str">
            <v xml:space="preserve">Formulario Inscripcion Borrador </v>
          </cell>
        </row>
        <row r="2067">
          <cell r="F2067" t="str">
            <v xml:space="preserve">Formulario Inscripcion Borrador </v>
          </cell>
        </row>
        <row r="2068">
          <cell r="F2068" t="str">
            <v xml:space="preserve">Formulario Inscripcion Contingencia </v>
          </cell>
        </row>
        <row r="2069">
          <cell r="F2069" t="str">
            <v xml:space="preserve">Formulario Inscripcion Contingencia </v>
          </cell>
        </row>
        <row r="2070">
          <cell r="F2070" t="str">
            <v xml:space="preserve">Formulario Inscripcion De Examen </v>
          </cell>
        </row>
        <row r="2071">
          <cell r="F2071" t="str">
            <v xml:space="preserve">Formulario Inscripcion Eces </v>
          </cell>
        </row>
        <row r="2072">
          <cell r="F2072" t="str">
            <v xml:space="preserve">Formulario Inscripcion Examen De </v>
          </cell>
        </row>
        <row r="2073">
          <cell r="F2073" t="str">
            <v xml:space="preserve">Formulario Inscripcion Examen De </v>
          </cell>
        </row>
        <row r="2074">
          <cell r="F2074" t="str">
            <v xml:space="preserve">Formulario Inscripcion Examen </v>
          </cell>
        </row>
        <row r="2075">
          <cell r="F2075" t="str">
            <v xml:space="preserve">Formulario Inscripcion Examen </v>
          </cell>
        </row>
        <row r="2076">
          <cell r="F2076" t="str">
            <v xml:space="preserve">Formulario Inscripcion Examen </v>
          </cell>
        </row>
        <row r="2077">
          <cell r="F2077" t="str">
            <v xml:space="preserve">Formulario Inscripcion Examen </v>
          </cell>
        </row>
        <row r="2078">
          <cell r="F2078" t="str">
            <v xml:space="preserve">Formulario Inscripcion Hoja 1 </v>
          </cell>
        </row>
        <row r="2079">
          <cell r="F2079" t="str">
            <v xml:space="preserve">Formulario Inscripcion Hoja 1 </v>
          </cell>
        </row>
        <row r="2080">
          <cell r="F2080" t="str">
            <v xml:space="preserve">Formulario Inscripcion Hoja 2 </v>
          </cell>
        </row>
        <row r="2081">
          <cell r="F2081" t="str">
            <v xml:space="preserve">Formulario Inscripcion Hoja 2 </v>
          </cell>
        </row>
        <row r="2082">
          <cell r="F2082" t="str">
            <v xml:space="preserve">Formulario Inscripcion Hoja 2 </v>
          </cell>
        </row>
        <row r="2083">
          <cell r="F2083" t="str">
            <v xml:space="preserve">Formulario Inscripcion Hoja 2 </v>
          </cell>
        </row>
        <row r="2084">
          <cell r="F2084" t="str">
            <v xml:space="preserve">Formulario Inscripcion Hoja No. 2 </v>
          </cell>
        </row>
        <row r="2085">
          <cell r="F2085" t="str">
            <v xml:space="preserve">Formulario Inscripcion Hoja1 </v>
          </cell>
        </row>
        <row r="2086">
          <cell r="F2086" t="str">
            <v xml:space="preserve">Formulario Inscripcion Original </v>
          </cell>
        </row>
        <row r="2087">
          <cell r="F2087" t="str">
            <v xml:space="preserve">Formulario Inscripcion Original </v>
          </cell>
        </row>
        <row r="2088">
          <cell r="F2088" t="str">
            <v xml:space="preserve">Formulario Inscripcion Original </v>
          </cell>
        </row>
        <row r="2089">
          <cell r="F2089" t="str">
            <v xml:space="preserve">Formulario Instrumento De </v>
          </cell>
        </row>
        <row r="2090">
          <cell r="F2090" t="str">
            <v xml:space="preserve">Formulario Instrumentos De </v>
          </cell>
        </row>
        <row r="2091">
          <cell r="F2091" t="str">
            <v xml:space="preserve">Formulario No. 1 Examen De Estado </v>
          </cell>
        </row>
        <row r="2092">
          <cell r="F2092" t="str">
            <v xml:space="preserve">Formulario Observacion De Aula </v>
          </cell>
        </row>
        <row r="2093">
          <cell r="F2093" t="str">
            <v xml:space="preserve">Formulario Original Hoja 1 Ac2003-1 </v>
          </cell>
        </row>
        <row r="2094">
          <cell r="F2094" t="str">
            <v xml:space="preserve">Formulario Original Hoja 1 Examen </v>
          </cell>
        </row>
        <row r="2095">
          <cell r="F2095" t="str">
            <v xml:space="preserve">Formulario Original Hoja 2 Ac2003-1 </v>
          </cell>
        </row>
        <row r="2096">
          <cell r="F2096" t="str">
            <v xml:space="preserve">Formulario Original Hoja 2 Examen </v>
          </cell>
        </row>
        <row r="2097">
          <cell r="F2097" t="str">
            <v xml:space="preserve">Formulario Original Validacion </v>
          </cell>
        </row>
        <row r="2098">
          <cell r="F2098" t="str">
            <v>Formulario Para Pago De Iva (Dian)</v>
          </cell>
        </row>
        <row r="2099">
          <cell r="F2099" t="str">
            <v xml:space="preserve">Formulario Para Pago De </v>
          </cell>
        </row>
        <row r="2100">
          <cell r="F2100" t="str">
            <v>Formulario Predial 2001</v>
          </cell>
        </row>
        <row r="2101">
          <cell r="F2101" t="str">
            <v>Formulario Predial Unificado</v>
          </cell>
        </row>
        <row r="2102">
          <cell r="F2102" t="str">
            <v xml:space="preserve">Formulario Unico De Impuesto De </v>
          </cell>
        </row>
        <row r="2103">
          <cell r="F2103" t="str">
            <v xml:space="preserve">Formulario Unico Vehiculos Matricula </v>
          </cell>
        </row>
        <row r="2104">
          <cell r="F2104" t="str">
            <v xml:space="preserve">Formularios Retencion De Industria, </v>
          </cell>
        </row>
        <row r="2105">
          <cell r="F2105" t="str">
            <v xml:space="preserve">Formularios Transferencias Azul </v>
          </cell>
        </row>
        <row r="2106">
          <cell r="F2106" t="str">
            <v xml:space="preserve">Guia De Estudio De Factibilidad </v>
          </cell>
        </row>
        <row r="2107">
          <cell r="F2107" t="str">
            <v>Guia De Orientacion Cambridge</v>
          </cell>
        </row>
        <row r="2108">
          <cell r="F2108" t="str">
            <v>Guia De Orientacion Derecho</v>
          </cell>
        </row>
        <row r="2109">
          <cell r="F2109" t="str">
            <v>Guia De Orientacion Ingles/Icfes</v>
          </cell>
        </row>
        <row r="2110">
          <cell r="F2110" t="str">
            <v>Guia De Orientacion Pisa</v>
          </cell>
        </row>
        <row r="2111">
          <cell r="F2111" t="str">
            <v>Guia De Orientacion -Procuraduria-</v>
          </cell>
        </row>
        <row r="2112">
          <cell r="F2112" t="str">
            <v xml:space="preserve">Guia De Orientacion Programa </v>
          </cell>
        </row>
        <row r="2113">
          <cell r="F2113" t="str">
            <v xml:space="preserve">Guia De Orientacion Prueba Piloto </v>
          </cell>
        </row>
        <row r="2114">
          <cell r="F2114" t="str">
            <v xml:space="preserve">Guia De Orientacion Prueba Piloto </v>
          </cell>
        </row>
        <row r="2115">
          <cell r="F2115" t="str">
            <v xml:space="preserve">Guia De Orientacion Prueba Piloto </v>
          </cell>
        </row>
        <row r="2116">
          <cell r="F2116" t="str">
            <v>Guia De Orientacion -Prueba Saber-</v>
          </cell>
        </row>
        <row r="2117">
          <cell r="F2117" t="str">
            <v>Guia De Orientacion Serce</v>
          </cell>
        </row>
        <row r="2118">
          <cell r="F2118" t="str">
            <v>Guia De Orientacion Timms</v>
          </cell>
        </row>
        <row r="2119">
          <cell r="F2119" t="str">
            <v>Guia De Orientacion Timms Cal. B</v>
          </cell>
        </row>
        <row r="2120">
          <cell r="F2120" t="str">
            <v>Guia De Procedimiento Cna 02</v>
          </cell>
        </row>
        <row r="2121">
          <cell r="F2121" t="str">
            <v xml:space="preserve">Guia Del Evento Seminario Regional </v>
          </cell>
        </row>
        <row r="2122">
          <cell r="F2122" t="str">
            <v xml:space="preserve">Guia Evento Seminario Regional </v>
          </cell>
        </row>
        <row r="2123">
          <cell r="F2123" t="str">
            <v>Guia Informativa Copaso</v>
          </cell>
        </row>
        <row r="2124">
          <cell r="F2124" t="str">
            <v xml:space="preserve">Guia Introduccion A Las Pruebas De </v>
          </cell>
        </row>
        <row r="2125">
          <cell r="F2125" t="str">
            <v>Guia Orientacion Para Rectores</v>
          </cell>
        </row>
        <row r="2126">
          <cell r="F2126" t="str">
            <v xml:space="preserve">Guia Para Autorizacion Creacion </v>
          </cell>
        </row>
        <row r="2127">
          <cell r="F2127" t="str">
            <v>Guia Para Entregar En Bancos</v>
          </cell>
        </row>
        <row r="2128">
          <cell r="F2128" t="str">
            <v>Guia Para La Socializacion</v>
          </cell>
        </row>
        <row r="2129">
          <cell r="F2129" t="str">
            <v>Guia Para Planteles Registro Ac</v>
          </cell>
        </row>
        <row r="2130">
          <cell r="F2130" t="str">
            <v>Guia Para Universides -Ecaes-</v>
          </cell>
        </row>
        <row r="2131">
          <cell r="F2131" t="str">
            <v xml:space="preserve">Guia Rapida Seminario Evaluacion </v>
          </cell>
        </row>
        <row r="2132">
          <cell r="F2132" t="str">
            <v xml:space="preserve">Guia Seguimiento Programas De </v>
          </cell>
        </row>
        <row r="2133">
          <cell r="F2133" t="str">
            <v>Guias Rectores Calendario A</v>
          </cell>
        </row>
        <row r="2134">
          <cell r="F2134" t="str">
            <v xml:space="preserve">Hoja De Calificacion Proyecto </v>
          </cell>
        </row>
        <row r="2135">
          <cell r="F2135" t="str">
            <v>Hoja De Ejercicios Items Bogota</v>
          </cell>
        </row>
        <row r="2136">
          <cell r="F2136" t="str">
            <v xml:space="preserve">Hoja De Ejercicios Seminario </v>
          </cell>
        </row>
        <row r="2137">
          <cell r="F2137" t="str">
            <v>Hoja De Ejercicios Taller Items</v>
          </cell>
        </row>
        <row r="2138">
          <cell r="F2138" t="str">
            <v>Hoja De Operaciones (Prueba Sena)</v>
          </cell>
        </row>
        <row r="2139">
          <cell r="F2139" t="str">
            <v xml:space="preserve">Hoja De Operaciones Grado 5 </v>
          </cell>
        </row>
        <row r="2140">
          <cell r="F2140" t="str">
            <v xml:space="preserve">Hoja De Operaciones Grado 9 </v>
          </cell>
        </row>
        <row r="2141">
          <cell r="F2141" t="str">
            <v xml:space="preserve">Hoja De Resolucion Subdireccion De </v>
          </cell>
        </row>
        <row r="2142">
          <cell r="F2142" t="str">
            <v xml:space="preserve">Hoja De Resolucion Subdireccion </v>
          </cell>
        </row>
        <row r="2143">
          <cell r="F2143" t="str">
            <v xml:space="preserve">Hoja De Respuesta (Formato De </v>
          </cell>
        </row>
        <row r="2144">
          <cell r="F2144" t="str">
            <v xml:space="preserve">Hoja De Respuesta (Formato </v>
          </cell>
        </row>
        <row r="2145">
          <cell r="F2145" t="str">
            <v xml:space="preserve">Hoja De Respuesta Calificacion </v>
          </cell>
        </row>
        <row r="2146">
          <cell r="F2146" t="str">
            <v xml:space="preserve">Hoja De Respuesta Calificacion </v>
          </cell>
        </row>
        <row r="2147">
          <cell r="F2147" t="str">
            <v xml:space="preserve">Hoja De Respuesta Forma 1 Gradfo </v>
          </cell>
        </row>
        <row r="2148">
          <cell r="F2148" t="str">
            <v xml:space="preserve">Hoja De Respuesta Forma 1 Grado </v>
          </cell>
        </row>
        <row r="2149">
          <cell r="F2149" t="str">
            <v xml:space="preserve">Hoja De Respuesta Gigante (Grado </v>
          </cell>
        </row>
        <row r="2150">
          <cell r="F2150" t="str">
            <v xml:space="preserve">Hoja De Respuesta Gigante (Grado </v>
          </cell>
        </row>
        <row r="2151">
          <cell r="F2151" t="str">
            <v xml:space="preserve">Hoja De Respuesta Gigante Grado </v>
          </cell>
        </row>
        <row r="2152">
          <cell r="F2152" t="str">
            <v xml:space="preserve">Hoja De Respuesta Gigante Grado </v>
          </cell>
        </row>
        <row r="2153">
          <cell r="F2153" t="str">
            <v>Hoja De Respuesta Gigante -Saber-</v>
          </cell>
        </row>
        <row r="2154">
          <cell r="F2154" t="str">
            <v xml:space="preserve">Hoja De Respuesta Grado 5 Prueba </v>
          </cell>
        </row>
        <row r="2155">
          <cell r="F2155" t="str">
            <v xml:space="preserve">Hoja De Respuesta Grado 9 Prueba </v>
          </cell>
        </row>
        <row r="2156">
          <cell r="F2156" t="str">
            <v xml:space="preserve">Hoja De Respuesta Ingles </v>
          </cell>
        </row>
        <row r="2157">
          <cell r="F2157" t="str">
            <v xml:space="preserve">Hoja De Respuesta Lic. En </v>
          </cell>
        </row>
        <row r="2158">
          <cell r="F2158" t="str">
            <v xml:space="preserve">Hoja De Respuesta Programa </v>
          </cell>
        </row>
        <row r="2159">
          <cell r="F2159" t="str">
            <v xml:space="preserve">Hoja De Respuesta Universidad Los </v>
          </cell>
        </row>
        <row r="2160">
          <cell r="F2160" t="str">
            <v xml:space="preserve">Hoja De Respuestas Forma 1 Grado </v>
          </cell>
        </row>
        <row r="2161">
          <cell r="F2161" t="str">
            <v xml:space="preserve">Hoja De Respuestas Gigante Grado </v>
          </cell>
        </row>
        <row r="2162">
          <cell r="F2162" t="str">
            <v xml:space="preserve">Hoja De Respuestas Gigante Saber </v>
          </cell>
        </row>
        <row r="2163">
          <cell r="F2163" t="str">
            <v>Hoja De Respuestas Ingles-Icfes</v>
          </cell>
        </row>
        <row r="2164">
          <cell r="F2164" t="str">
            <v xml:space="preserve">Hoja E Respuestas Forma 1 Grado </v>
          </cell>
        </row>
        <row r="2165">
          <cell r="F2165" t="str">
            <v xml:space="preserve">Hoja Ejercicios Elaboracion De </v>
          </cell>
        </row>
        <row r="2166">
          <cell r="F2166" t="str">
            <v>Hojas De Respuesta A Medio Pliego</v>
          </cell>
        </row>
        <row r="2167">
          <cell r="F2167" t="str">
            <v xml:space="preserve">Hojas De Respuesta Para Lectora </v>
          </cell>
        </row>
        <row r="2168">
          <cell r="F2168" t="str">
            <v xml:space="preserve">Hojas Para Caratula Y Lomo De </v>
          </cell>
        </row>
        <row r="2169">
          <cell r="F2169" t="str">
            <v>Informa Gestion 1998-2002</v>
          </cell>
        </row>
        <row r="2170">
          <cell r="F2170" t="str">
            <v>Informativos -Cid-</v>
          </cell>
        </row>
        <row r="2171">
          <cell r="F2171" t="str">
            <v>Informe Coordinador De Salon</v>
          </cell>
        </row>
        <row r="2172">
          <cell r="F2172" t="str">
            <v>Informe De Prueba Saber 2004</v>
          </cell>
        </row>
        <row r="2173">
          <cell r="F2173" t="str">
            <v>Informe Del Delegado</v>
          </cell>
        </row>
        <row r="2174">
          <cell r="F2174" t="str">
            <v xml:space="preserve">Informe Del Delegado Saber </v>
          </cell>
        </row>
        <row r="2175">
          <cell r="F2175" t="str">
            <v>Informe Del Delegado Y/O Rector</v>
          </cell>
        </row>
        <row r="2176">
          <cell r="F2176" t="str">
            <v>Informe Del Rector (Saber)</v>
          </cell>
        </row>
        <row r="2177">
          <cell r="F2177" t="str">
            <v>Informe Del Rector O Director Rural</v>
          </cell>
        </row>
        <row r="2178">
          <cell r="F2178" t="str">
            <v xml:space="preserve">Informe Del Secretario De </v>
          </cell>
        </row>
        <row r="2179">
          <cell r="F2179" t="str">
            <v>Informe Del Veedor</v>
          </cell>
        </row>
        <row r="2180">
          <cell r="F2180" t="str">
            <v>Informe Del Veedor Saber</v>
          </cell>
        </row>
        <row r="2181">
          <cell r="F2181" t="str">
            <v xml:space="preserve">Informe Delegado Color Rojo </v>
          </cell>
        </row>
        <row r="2182">
          <cell r="F2182" t="str">
            <v xml:space="preserve">Informe Delegado Color Verde </v>
          </cell>
        </row>
        <row r="2183">
          <cell r="F2183" t="str">
            <v>Informe Delegado -Saber-</v>
          </cell>
        </row>
        <row r="2184">
          <cell r="F2184" t="str">
            <v>Informe Ejecutivo Iccs</v>
          </cell>
        </row>
        <row r="2185">
          <cell r="F2185" t="str">
            <v>Informe Ejecutivo Iccs</v>
          </cell>
        </row>
        <row r="2186">
          <cell r="F2186" t="str">
            <v>Informe Ejecutivo Pisa</v>
          </cell>
        </row>
        <row r="2187">
          <cell r="F2187" t="str">
            <v>Informe Ejecutivo Saber</v>
          </cell>
        </row>
        <row r="2188">
          <cell r="F2188" t="str">
            <v>Informe Ejecutivo Timms</v>
          </cell>
        </row>
        <row r="2189">
          <cell r="F2189" t="str">
            <v>Informe Ejecutivo Timms</v>
          </cell>
        </row>
        <row r="2190">
          <cell r="F2190" t="str">
            <v>Informe Especifico De Aplicacion</v>
          </cell>
        </row>
        <row r="2191">
          <cell r="F2191" t="str">
            <v xml:space="preserve">Informe Estadistico De La </v>
          </cell>
        </row>
        <row r="2192">
          <cell r="F2192" t="str">
            <v>Informe General De La Aplicacion</v>
          </cell>
        </row>
        <row r="2193">
          <cell r="F2193" t="str">
            <v>Informe Para La Dian</v>
          </cell>
        </row>
        <row r="2194">
          <cell r="F2194" t="str">
            <v xml:space="preserve">Informe Sobre El Desarrollo Y </v>
          </cell>
        </row>
        <row r="2195">
          <cell r="F2195" t="str">
            <v>Informes Pisa 2009 (Varios Temas)</v>
          </cell>
        </row>
        <row r="2196">
          <cell r="F2196" t="str">
            <v>Informes Pisa Dest02Ad</v>
          </cell>
        </row>
        <row r="2197">
          <cell r="F2197" t="str">
            <v>Informes Saber Dest02Ad Op 63004</v>
          </cell>
        </row>
        <row r="2198">
          <cell r="F2198" t="str">
            <v xml:space="preserve">Inscripcion Por Internet Examenes </v>
          </cell>
        </row>
        <row r="2199">
          <cell r="F2199" t="str">
            <v xml:space="preserve">Instruccion Organizacion Material </v>
          </cell>
        </row>
        <row r="2200">
          <cell r="F2200" t="str">
            <v>Instrucciones Coordinador De Salon</v>
          </cell>
        </row>
        <row r="2201">
          <cell r="F2201" t="str">
            <v>Instrucciones Coordinador De Sitio</v>
          </cell>
        </row>
        <row r="2202">
          <cell r="F2202" t="str">
            <v>Instrucciones Delegado</v>
          </cell>
        </row>
        <row r="2203">
          <cell r="F2203" t="str">
            <v>Instrucciones Delegado Saber</v>
          </cell>
        </row>
        <row r="2204">
          <cell r="F2204" t="str">
            <v>Instrucciones Especificas</v>
          </cell>
        </row>
        <row r="2205">
          <cell r="F2205" t="str">
            <v>Instrucciones Especificas Ac</v>
          </cell>
        </row>
        <row r="2206">
          <cell r="F2206" t="str">
            <v xml:space="preserve">Instrucciones Especificas Hoja De </v>
          </cell>
        </row>
        <row r="2207">
          <cell r="F2207" t="str">
            <v xml:space="preserve">Instrucciones Especificas Jefe De </v>
          </cell>
        </row>
        <row r="2208">
          <cell r="F2208" t="str">
            <v>Instrucciones Jefe De Salon</v>
          </cell>
        </row>
        <row r="2209">
          <cell r="F2209" t="str">
            <v xml:space="preserve">Instrucciones Monitor Banos Y </v>
          </cell>
        </row>
        <row r="2210">
          <cell r="F2210" t="str">
            <v xml:space="preserve">Instrucciones Para El Rector </v>
          </cell>
        </row>
        <row r="2211">
          <cell r="F2211" t="str">
            <v xml:space="preserve">Instrucciones Para El Rector </v>
          </cell>
        </row>
        <row r="2212">
          <cell r="F2212" t="str">
            <v xml:space="preserve">Instructivo Grupo Atencion Al </v>
          </cell>
        </row>
        <row r="2213">
          <cell r="F2213" t="str">
            <v xml:space="preserve">Instructivo Para El Catalogo </v>
          </cell>
        </row>
        <row r="2214">
          <cell r="F2214" t="str">
            <v>Instructivo Para Rectores</v>
          </cell>
        </row>
        <row r="2215">
          <cell r="F2215" t="str">
            <v>Instructivo Saber Pro Plegable</v>
          </cell>
        </row>
        <row r="2216">
          <cell r="F2216" t="str">
            <v>Instrumento De Evaluacion</v>
          </cell>
        </row>
        <row r="2217">
          <cell r="F2217" t="str">
            <v>Libreta Autorizacion (Aplicaciones)</v>
          </cell>
        </row>
        <row r="2218">
          <cell r="F2218" t="str">
            <v xml:space="preserve">Libreta Comprobantes De Venta De </v>
          </cell>
        </row>
        <row r="2219">
          <cell r="F2219" t="str">
            <v xml:space="preserve">Libreta De Anotacion Seminario </v>
          </cell>
        </row>
        <row r="2220">
          <cell r="F2220" t="str">
            <v>Libreta De Apuntes</v>
          </cell>
        </row>
        <row r="2221">
          <cell r="F2221" t="str">
            <v xml:space="preserve">Libreta De Apuntes Para Seminario </v>
          </cell>
        </row>
        <row r="2222">
          <cell r="F2222" t="str">
            <v>Libreta Formato De Remision</v>
          </cell>
        </row>
        <row r="2223">
          <cell r="F2223" t="str">
            <v xml:space="preserve">Libreta Formato Solicitud De </v>
          </cell>
        </row>
        <row r="2224">
          <cell r="F2224" t="str">
            <v>Libreta Institucional</v>
          </cell>
        </row>
        <row r="2225">
          <cell r="F2225" t="str">
            <v xml:space="preserve">Libreta Para Apuntes "Encuentro </v>
          </cell>
        </row>
        <row r="2226">
          <cell r="F2226" t="str">
            <v xml:space="preserve">Libreta Para Notas (Recortes De </v>
          </cell>
        </row>
        <row r="2227">
          <cell r="F2227" t="str">
            <v>Libreta Remisiones Para Almacen</v>
          </cell>
        </row>
        <row r="2228">
          <cell r="F2228" t="str">
            <v>Libreta Seminario Internacional</v>
          </cell>
        </row>
        <row r="2229">
          <cell r="F2229" t="str">
            <v>Libretas Block Oficio En Periodico</v>
          </cell>
        </row>
        <row r="2230">
          <cell r="F2230" t="str">
            <v>Libretas De Apuntes</v>
          </cell>
        </row>
        <row r="2231">
          <cell r="F2231" t="str">
            <v xml:space="preserve">Libretas De Apuntes Diferentes </v>
          </cell>
        </row>
        <row r="2232">
          <cell r="F2232" t="str">
            <v xml:space="preserve">Libretas Encuentro Iberoamericano </v>
          </cell>
        </row>
        <row r="2233">
          <cell r="F2233" t="str">
            <v xml:space="preserve">Libretas Numeradas Para Expedicion </v>
          </cell>
        </row>
        <row r="2234">
          <cell r="F2234" t="str">
            <v xml:space="preserve">Libro Pedagogia Y Racionalidad </v>
          </cell>
        </row>
        <row r="2235">
          <cell r="F2235" t="str">
            <v>Libro Pisa</v>
          </cell>
        </row>
        <row r="2236">
          <cell r="F2236" t="str">
            <v xml:space="preserve">Libro Resumen Estadistico Decada </v>
          </cell>
        </row>
        <row r="2237">
          <cell r="F2237" t="str">
            <v xml:space="preserve">Lic. En Educacion Basica Enfasis </v>
          </cell>
        </row>
        <row r="2238">
          <cell r="F2238" t="str">
            <v xml:space="preserve">Limpieza De Superficies Y </v>
          </cell>
        </row>
        <row r="2239">
          <cell r="F2239" t="str">
            <v>Lineamientos Saber 2009</v>
          </cell>
        </row>
        <row r="2240">
          <cell r="F2240" t="str">
            <v xml:space="preserve">Lista Asistencia Asignacion Material </v>
          </cell>
        </row>
        <row r="2241">
          <cell r="F2241" t="str">
            <v xml:space="preserve">Lista De Asistencia Y Asignacion </v>
          </cell>
        </row>
        <row r="2242">
          <cell r="F2242" t="str">
            <v xml:space="preserve">Lista De Encabezamientos Material </v>
          </cell>
        </row>
        <row r="2243">
          <cell r="F2243" t="str">
            <v xml:space="preserve">Listado Asistencia Y Asignacion </v>
          </cell>
        </row>
        <row r="2244">
          <cell r="F2244" t="str">
            <v xml:space="preserve">Listado Asistencia Y Asignacion </v>
          </cell>
        </row>
        <row r="2245">
          <cell r="F2245" t="str">
            <v xml:space="preserve">Listado De Asistencia Y Asignacion </v>
          </cell>
        </row>
        <row r="2246">
          <cell r="F2246" t="str">
            <v xml:space="preserve">Listados Instituciones De Educacion </v>
          </cell>
        </row>
        <row r="2247">
          <cell r="F2247" t="str">
            <v xml:space="preserve">Mamual Aplicador Saber </v>
          </cell>
        </row>
        <row r="2248">
          <cell r="F2248" t="str">
            <v>Manual Aplicador Saber -Control-</v>
          </cell>
        </row>
        <row r="2249">
          <cell r="F2249" t="str">
            <v>Manual Aplicador Saber -Estadistica-</v>
          </cell>
        </row>
        <row r="2250">
          <cell r="F2250" t="str">
            <v xml:space="preserve">Manual Aplicador Saber Piloto Grado </v>
          </cell>
        </row>
        <row r="2251">
          <cell r="F2251" t="str">
            <v xml:space="preserve">Manual Aplicador Saber Piloto Grado </v>
          </cell>
        </row>
        <row r="2252">
          <cell r="F2252" t="str">
            <v>Manual Aplicar Docente</v>
          </cell>
        </row>
        <row r="2253">
          <cell r="F2253" t="str">
            <v>Manual Coordinador De Ciudad</v>
          </cell>
        </row>
        <row r="2254">
          <cell r="F2254" t="str">
            <v>Manual Coordinador De Salones</v>
          </cell>
        </row>
        <row r="2255">
          <cell r="F2255" t="str">
            <v xml:space="preserve">Manual Coordinador De Salones </v>
          </cell>
        </row>
        <row r="2256">
          <cell r="F2256" t="str">
            <v>Manual Coordinador Municipio</v>
          </cell>
        </row>
        <row r="2257">
          <cell r="F2257" t="str">
            <v xml:space="preserve">Manual Coordinador Salones </v>
          </cell>
        </row>
        <row r="2258">
          <cell r="F2258" t="str">
            <v xml:space="preserve">Manual Coordinador Salones Saber </v>
          </cell>
        </row>
        <row r="2259">
          <cell r="F2259" t="str">
            <v xml:space="preserve">Manual Coordinador Salones Saber </v>
          </cell>
        </row>
        <row r="2260">
          <cell r="F2260" t="str">
            <v>Manual Coordinadores De Sitios</v>
          </cell>
        </row>
        <row r="2261">
          <cell r="F2261" t="str">
            <v>Manual De Contratacion</v>
          </cell>
        </row>
        <row r="2262">
          <cell r="F2262" t="str">
            <v>Manual De Coordinador</v>
          </cell>
        </row>
        <row r="2263">
          <cell r="F2263" t="str">
            <v xml:space="preserve">Manual De Coordinador De Unidades </v>
          </cell>
        </row>
        <row r="2264">
          <cell r="F2264" t="str">
            <v>Manual De Inducion Icfes</v>
          </cell>
        </row>
        <row r="2265">
          <cell r="F2265" t="str">
            <v xml:space="preserve">Manual De Procedimiento Del </v>
          </cell>
        </row>
        <row r="2266">
          <cell r="F2266" t="str">
            <v xml:space="preserve">Manual De Procedimientos De La </v>
          </cell>
        </row>
        <row r="2267">
          <cell r="F2267" t="str">
            <v xml:space="preserve">Manual De Procedimientos De La </v>
          </cell>
        </row>
        <row r="2268">
          <cell r="F2268" t="str">
            <v xml:space="preserve">Manual De Procedimientos Para </v>
          </cell>
        </row>
        <row r="2269">
          <cell r="F2269" t="str">
            <v xml:space="preserve">Manual De Rectores-Proceso De </v>
          </cell>
        </row>
        <row r="2270">
          <cell r="F2270" t="str">
            <v>Manual Del Aplicador</v>
          </cell>
        </row>
        <row r="2271">
          <cell r="F2271" t="str">
            <v>Manual Del Aplicador Censal</v>
          </cell>
        </row>
        <row r="2272">
          <cell r="F2272" t="str">
            <v>Manual Del Aplicador -Prueba Serce-</v>
          </cell>
        </row>
        <row r="2273">
          <cell r="F2273" t="str">
            <v>Manual Del Aplicador Saber</v>
          </cell>
        </row>
        <row r="2274">
          <cell r="F2274" t="str">
            <v>Manual Del Asistente</v>
          </cell>
        </row>
        <row r="2275">
          <cell r="F2275" t="str">
            <v xml:space="preserve">Manual Del Coordinador De Salones </v>
          </cell>
        </row>
        <row r="2276">
          <cell r="F2276" t="str">
            <v xml:space="preserve">Manual Del Coordinador De </v>
          </cell>
        </row>
        <row r="2277">
          <cell r="F2277" t="str">
            <v xml:space="preserve">Manual Del Coordinador -Prueba </v>
          </cell>
        </row>
        <row r="2278">
          <cell r="F2278" t="str">
            <v>Manual Del Dactiloscopista</v>
          </cell>
        </row>
        <row r="2279">
          <cell r="F2279" t="str">
            <v>Manual Del Delegado</v>
          </cell>
        </row>
        <row r="2280">
          <cell r="F2280" t="str">
            <v>Manual Del Delegado Saber -Control-</v>
          </cell>
        </row>
        <row r="2281">
          <cell r="F2281" t="str">
            <v>Manual Del Jefe De Salon</v>
          </cell>
        </row>
        <row r="2282">
          <cell r="F2282" t="str">
            <v>Manual Del Rector Saber</v>
          </cell>
        </row>
        <row r="2283">
          <cell r="F2283" t="str">
            <v>Manual Delegado -Saber-</v>
          </cell>
        </row>
        <row r="2284">
          <cell r="F2284" t="str">
            <v>Manual Delegado Saber -Estadistica-</v>
          </cell>
        </row>
        <row r="2285">
          <cell r="F2285" t="str">
            <v xml:space="preserve">Manual Docente Encargado De </v>
          </cell>
        </row>
        <row r="2286">
          <cell r="F2286" t="str">
            <v>Manual Factores Asociados Saber</v>
          </cell>
        </row>
        <row r="2287">
          <cell r="F2287" t="str">
            <v>Manual Gerente Regional</v>
          </cell>
        </row>
        <row r="2288">
          <cell r="F2288" t="str">
            <v xml:space="preserve">Manual Para Elñ Taller De Analisis </v>
          </cell>
        </row>
        <row r="2289">
          <cell r="F2289" t="str">
            <v>Manual Plan De Bienestar</v>
          </cell>
        </row>
        <row r="2290">
          <cell r="F2290" t="str">
            <v>Manual Plan De Salud Ocupacional</v>
          </cell>
        </row>
        <row r="2291">
          <cell r="F2291" t="str">
            <v>Marco Teorico Ciencias Naturales</v>
          </cell>
        </row>
        <row r="2292">
          <cell r="F2292" t="str">
            <v>Marco Teorico Ciencias Sociales</v>
          </cell>
        </row>
        <row r="2293">
          <cell r="F2293" t="str">
            <v>Marco Teorico Filosofia</v>
          </cell>
        </row>
        <row r="2294">
          <cell r="F2294" t="str">
            <v>Marco Teorico Lenguaje</v>
          </cell>
        </row>
        <row r="2295">
          <cell r="F2295" t="str">
            <v>Marco Teorico Matematica</v>
          </cell>
        </row>
        <row r="2296">
          <cell r="F2296" t="str">
            <v xml:space="preserve">Memorias Primer Encuentro Grupo </v>
          </cell>
        </row>
        <row r="2297">
          <cell r="F2297" t="str">
            <v xml:space="preserve">Memorias Seminario De Evaluacion </v>
          </cell>
        </row>
        <row r="2298">
          <cell r="F2298" t="str">
            <v xml:space="preserve">Memorias Seminario De Evaluacion </v>
          </cell>
        </row>
        <row r="2299">
          <cell r="F2299" t="str">
            <v xml:space="preserve">Memorias Seminario Regional </v>
          </cell>
        </row>
        <row r="2300">
          <cell r="F2300" t="str">
            <v xml:space="preserve">Memorias Seminario Regional </v>
          </cell>
        </row>
        <row r="2301">
          <cell r="F2301" t="str">
            <v xml:space="preserve">Memorias Seminario Regional De </v>
          </cell>
        </row>
        <row r="2302">
          <cell r="F2302" t="str">
            <v xml:space="preserve">Memorias Taller Items Seminario </v>
          </cell>
        </row>
        <row r="2303">
          <cell r="F2303" t="str">
            <v xml:space="preserve">Memorias Taller Procesamiento </v>
          </cell>
        </row>
        <row r="2304">
          <cell r="F2304" t="str">
            <v>Nomina De Examinadores</v>
          </cell>
        </row>
        <row r="2305">
          <cell r="F2305" t="str">
            <v>Nomina En Blanco</v>
          </cell>
        </row>
        <row r="2306">
          <cell r="F2306" t="str">
            <v xml:space="preserve">Novedades De Cuadernillos -Hojas </v>
          </cell>
        </row>
        <row r="2307">
          <cell r="F2307" t="str">
            <v xml:space="preserve">Novedades De Cuadernillos Y/O </v>
          </cell>
        </row>
        <row r="2308">
          <cell r="F2308" t="str">
            <v xml:space="preserve">Novedades De Cuadernillos Y/O </v>
          </cell>
        </row>
        <row r="2309">
          <cell r="F2309" t="str">
            <v xml:space="preserve">Nuevo Formato Informe Ind. </v>
          </cell>
        </row>
        <row r="2310">
          <cell r="F2310" t="str">
            <v>Orden De Servicio Para Ventanilla</v>
          </cell>
        </row>
        <row r="2311">
          <cell r="F2311" t="str">
            <v xml:space="preserve">Palnilla Distribucion Cuadernillos </v>
          </cell>
        </row>
        <row r="2312">
          <cell r="F2312" t="str">
            <v>Pautas Aplicacion -Prueba Serce-</v>
          </cell>
        </row>
        <row r="2313">
          <cell r="F2313" t="str">
            <v xml:space="preserve">Pelgable Premio Nacional De </v>
          </cell>
        </row>
        <row r="2314">
          <cell r="F2314" t="str">
            <v>Periodico Diatc02C</v>
          </cell>
        </row>
        <row r="2315">
          <cell r="F2315" t="str">
            <v>Personalizacion Diplomas</v>
          </cell>
        </row>
        <row r="2316">
          <cell r="F2316" t="str">
            <v>Personalizacion Libretas</v>
          </cell>
        </row>
        <row r="2317">
          <cell r="F2317" t="str">
            <v xml:space="preserve">Planilla De Conduccion Servicio </v>
          </cell>
        </row>
        <row r="2318">
          <cell r="F2318" t="str">
            <v>Planilla De Distribucion Cuadernillos</v>
          </cell>
        </row>
        <row r="2319">
          <cell r="F2319" t="str">
            <v xml:space="preserve">Planilla De Distribución De </v>
          </cell>
        </row>
        <row r="2320">
          <cell r="F2320" t="str">
            <v xml:space="preserve">Planilla De Entrega De Material De </v>
          </cell>
        </row>
        <row r="2321">
          <cell r="F2321" t="str">
            <v xml:space="preserve">Planilla De Entrega Y Recibos De </v>
          </cell>
        </row>
        <row r="2322">
          <cell r="F2322" t="str">
            <v xml:space="preserve">Planilla Distribucion Cuadernillos </v>
          </cell>
        </row>
        <row r="2323">
          <cell r="F2323" t="str">
            <v xml:space="preserve">Planilla Entrega Material De Examen </v>
          </cell>
        </row>
        <row r="2324">
          <cell r="F2324" t="str">
            <v>Planilla Radicacion Resoluciones</v>
          </cell>
        </row>
        <row r="2325">
          <cell r="F2325" t="str">
            <v>Plantillas Timss (Regletas Y Tips)</v>
          </cell>
        </row>
        <row r="2326">
          <cell r="F2326" t="str">
            <v xml:space="preserve">Plegable 4 Premio Nacional </v>
          </cell>
        </row>
        <row r="2327">
          <cell r="F2327" t="str">
            <v xml:space="preserve">Plegable 5To Convocatoria Premio </v>
          </cell>
        </row>
        <row r="2328">
          <cell r="F2328" t="str">
            <v>Plegable Calendario Institucional</v>
          </cell>
        </row>
        <row r="2329">
          <cell r="F2329" t="str">
            <v xml:space="preserve">Plegable Hemeroteca Nacional </v>
          </cell>
        </row>
        <row r="2330">
          <cell r="F2330" t="str">
            <v>Plegable Institucional</v>
          </cell>
        </row>
        <row r="2331">
          <cell r="F2331" t="str">
            <v>Plegable Instrucciones Especificas</v>
          </cell>
        </row>
        <row r="2332">
          <cell r="F2332" t="str">
            <v xml:space="preserve">Plegable Material De Inscripcion </v>
          </cell>
        </row>
        <row r="2333">
          <cell r="F2333" t="str">
            <v>Plegable Para Rectores Calendario B</v>
          </cell>
        </row>
        <row r="2334">
          <cell r="F2334" t="str">
            <v xml:space="preserve">Plegable Premio Nacional De </v>
          </cell>
        </row>
        <row r="2335">
          <cell r="F2335" t="str">
            <v>Plegable Servicios Generales Icfes</v>
          </cell>
        </row>
        <row r="2336">
          <cell r="F2336" t="str">
            <v xml:space="preserve">Plegable Vi Convocatoria Del Premio </v>
          </cell>
        </row>
        <row r="2337">
          <cell r="F2337" t="str">
            <v xml:space="preserve">Plegable Vi Convocatoria Premio </v>
          </cell>
        </row>
        <row r="2338">
          <cell r="F2338" t="str">
            <v xml:space="preserve">Plegables Encuentro Iberoamericano </v>
          </cell>
        </row>
        <row r="2339">
          <cell r="F2339" t="str">
            <v>Portafolio</v>
          </cell>
        </row>
        <row r="2340">
          <cell r="F2340" t="str">
            <v xml:space="preserve">Portafolio De Proyectos Programa </v>
          </cell>
        </row>
        <row r="2341">
          <cell r="F2341" t="str">
            <v>Portafolio De Servicios</v>
          </cell>
        </row>
        <row r="2342">
          <cell r="F2342" t="str">
            <v xml:space="preserve">Portafolio De Servicios Icfes (No </v>
          </cell>
        </row>
        <row r="2343">
          <cell r="F2343" t="str">
            <v xml:space="preserve">Portafolio Ix Congreso Nacional De </v>
          </cell>
        </row>
        <row r="2344">
          <cell r="F2344" t="str">
            <v xml:space="preserve">Pregunta Abierta Matematica </v>
          </cell>
        </row>
        <row r="2345">
          <cell r="F2345" t="str">
            <v xml:space="preserve">Preguntas De Examen Dudosas </v>
          </cell>
        </row>
        <row r="2346">
          <cell r="F2346" t="str">
            <v xml:space="preserve">Preguntas De Examen Dudosas </v>
          </cell>
        </row>
        <row r="2347">
          <cell r="F2347" t="str">
            <v>Preguntas Dudosas Saber -Control-</v>
          </cell>
        </row>
        <row r="2348">
          <cell r="F2348" t="str">
            <v xml:space="preserve">Preguntas Dudosas Saber </v>
          </cell>
        </row>
        <row r="2349">
          <cell r="F2349" t="str">
            <v xml:space="preserve">Premio Nacional De Educacion </v>
          </cell>
        </row>
        <row r="2350">
          <cell r="F2350" t="str">
            <v xml:space="preserve">Programas Acreditados Catalogo </v>
          </cell>
        </row>
        <row r="2351">
          <cell r="F2351" t="str">
            <v>Proyecto Pisa</v>
          </cell>
        </row>
        <row r="2352">
          <cell r="F2352" t="str">
            <v>Prueba De Biologia 1A Sesion</v>
          </cell>
        </row>
        <row r="2353">
          <cell r="F2353" t="str">
            <v>Prueba De Biologia 2A Sesion</v>
          </cell>
        </row>
        <row r="2354">
          <cell r="F2354" t="str">
            <v>Prueba De Cambridge Definitiva</v>
          </cell>
        </row>
        <row r="2355">
          <cell r="F2355" t="str">
            <v xml:space="preserve">Prueba De Geologia Ecaes 1A </v>
          </cell>
        </row>
        <row r="2356">
          <cell r="F2356" t="str">
            <v xml:space="preserve">Prueba De Geologia Ecaes 2A </v>
          </cell>
        </row>
        <row r="2357">
          <cell r="F2357" t="str">
            <v xml:space="preserve">Prueba De Humanidades Y Lengua </v>
          </cell>
        </row>
        <row r="2358">
          <cell r="F2358" t="str">
            <v xml:space="preserve">Prueba De Ingenieria Agricola 1A </v>
          </cell>
        </row>
        <row r="2359">
          <cell r="F2359" t="str">
            <v xml:space="preserve">Prueba De Ingenieria Agroindustrial </v>
          </cell>
        </row>
        <row r="2360">
          <cell r="F2360" t="str">
            <v xml:space="preserve">Prueba De Ingenieria De Petroleos </v>
          </cell>
        </row>
        <row r="2361">
          <cell r="F2361" t="str">
            <v xml:space="preserve">Prueba De Ingenieria De Petroleos </v>
          </cell>
        </row>
        <row r="2362">
          <cell r="F2362" t="str">
            <v>Prueba De Ingles Icfes Definitiva</v>
          </cell>
        </row>
        <row r="2363">
          <cell r="F2363" t="str">
            <v xml:space="preserve">Prueba De Lenguas </v>
          </cell>
        </row>
        <row r="2364">
          <cell r="F2364" t="str">
            <v xml:space="preserve">Prueba De Matematica Pregunta </v>
          </cell>
        </row>
        <row r="2365">
          <cell r="F2365" t="str">
            <v xml:space="preserve">Prueba De Matematica Pregunta </v>
          </cell>
        </row>
        <row r="2366">
          <cell r="F2366" t="str">
            <v xml:space="preserve">Prueba De Matematica Pregunta </v>
          </cell>
        </row>
        <row r="2367">
          <cell r="F2367" t="str">
            <v>Prueba De Preescolar 1A Sesion</v>
          </cell>
        </row>
        <row r="2368">
          <cell r="F2368" t="str">
            <v>Prueba De Preescolar 2A Sesion</v>
          </cell>
        </row>
        <row r="2369">
          <cell r="F2369" t="str">
            <v>Prueba De Quimica 1A Sesion</v>
          </cell>
        </row>
        <row r="2370">
          <cell r="F2370" t="str">
            <v>Prueba De Quimica 2A Sesion</v>
          </cell>
        </row>
        <row r="2371">
          <cell r="F2371" t="str">
            <v xml:space="preserve">Prueba En Lic. En Lenguas </v>
          </cell>
        </row>
        <row r="2372">
          <cell r="F2372" t="str">
            <v>Prueba Fisica Ecaes 1A. Sesion</v>
          </cell>
        </row>
        <row r="2373">
          <cell r="F2373" t="str">
            <v>Prueba Fisica Ecaes 2A Sesion</v>
          </cell>
        </row>
        <row r="2374">
          <cell r="F2374" t="str">
            <v xml:space="preserve">Prueba Humanidades Y Lengua </v>
          </cell>
        </row>
        <row r="2375">
          <cell r="F2375" t="str">
            <v xml:space="preserve">Prueba Humanidades Y Lengua </v>
          </cell>
        </row>
        <row r="2376">
          <cell r="F2376" t="str">
            <v>Prueba Ingenieria Agricola 2A Sesion</v>
          </cell>
        </row>
        <row r="2377">
          <cell r="F2377" t="str">
            <v xml:space="preserve">Prueba Ingenieria Agroindustrial </v>
          </cell>
        </row>
        <row r="2378">
          <cell r="F2378" t="str">
            <v xml:space="preserve">Prueba Ingenieria De Alimentos 1A </v>
          </cell>
        </row>
        <row r="2379">
          <cell r="F2379" t="str">
            <v xml:space="preserve">Prueba Ingenieria De Alimentos 2A </v>
          </cell>
        </row>
        <row r="2380">
          <cell r="F2380" t="str">
            <v xml:space="preserve">Prueba Ingenieria Forestal Ecaes 1A </v>
          </cell>
        </row>
        <row r="2381">
          <cell r="F2381" t="str">
            <v xml:space="preserve">Prueba Ingenieria Forestal Ecaes 2A </v>
          </cell>
        </row>
        <row r="2382">
          <cell r="F2382" t="str">
            <v>Prueba Ingenieria Quimica 1A Sesion</v>
          </cell>
        </row>
        <row r="2383">
          <cell r="F2383" t="str">
            <v>Prueba Ingenieria Quimica 2A Sesion</v>
          </cell>
        </row>
        <row r="2384">
          <cell r="F2384" t="str">
            <v xml:space="preserve">Prueba Lenguas Modernas-Ingles </v>
          </cell>
        </row>
        <row r="2385">
          <cell r="F2385" t="str">
            <v xml:space="preserve">Prueba Lic En Ciencias Modernas </v>
          </cell>
        </row>
        <row r="2386">
          <cell r="F2386" t="str">
            <v xml:space="preserve">Prueba Lic En Lenguas Modernas </v>
          </cell>
        </row>
        <row r="2387">
          <cell r="F2387" t="str">
            <v xml:space="preserve">Prueba Lic Humanidades Y Lengua </v>
          </cell>
        </row>
        <row r="2388">
          <cell r="F2388" t="str">
            <v xml:space="preserve">Prueba Lic. Educacion Basica </v>
          </cell>
        </row>
        <row r="2389">
          <cell r="F2389" t="str">
            <v xml:space="preserve">Prueba Lic. Educacion Basica </v>
          </cell>
        </row>
        <row r="2390">
          <cell r="F2390" t="str">
            <v xml:space="preserve">Prueba Lic. Educacion Basica </v>
          </cell>
        </row>
        <row r="2391">
          <cell r="F2391" t="str">
            <v xml:space="preserve">Prueba Lic. Educacion Basica </v>
          </cell>
        </row>
        <row r="2392">
          <cell r="F2392" t="str">
            <v xml:space="preserve">Prueba Lic. En Educacion Basica </v>
          </cell>
        </row>
        <row r="2393">
          <cell r="F2393" t="str">
            <v xml:space="preserve">Prueba Lic. En Educacion Basica </v>
          </cell>
        </row>
        <row r="2394">
          <cell r="F2394" t="str">
            <v xml:space="preserve">Prueba Lic. En Lenguas Modernas </v>
          </cell>
        </row>
        <row r="2395">
          <cell r="F2395" t="str">
            <v xml:space="preserve">Prueba Lic. En Lenguas Modernas </v>
          </cell>
        </row>
        <row r="2396">
          <cell r="F2396" t="str">
            <v xml:space="preserve">Prueba Lic. En Lenguas Modernas </v>
          </cell>
        </row>
        <row r="2397">
          <cell r="F2397" t="str">
            <v xml:space="preserve">Prueba Matematicas Pregunta </v>
          </cell>
        </row>
        <row r="2398">
          <cell r="F2398" t="str">
            <v>Prueba Para Delegados</v>
          </cell>
        </row>
        <row r="2399">
          <cell r="F2399" t="str">
            <v xml:space="preserve">Prueba Piloto Cambridge - Ingles </v>
          </cell>
        </row>
        <row r="2400">
          <cell r="F2400" t="str">
            <v>Prueba Piloto Cambridge Definitiva</v>
          </cell>
        </row>
        <row r="2401">
          <cell r="F2401" t="str">
            <v xml:space="preserve">Prueba Piloto Icfes-Ingles Hoja De </v>
          </cell>
        </row>
        <row r="2402">
          <cell r="F2402" t="str">
            <v xml:space="preserve">Prueba Piloto Incfes-Ingles </v>
          </cell>
        </row>
        <row r="2403">
          <cell r="F2403" t="str">
            <v xml:space="preserve">Prueba Piloto Saber 2008 Hoja De </v>
          </cell>
        </row>
        <row r="2404">
          <cell r="F2404" t="str">
            <v xml:space="preserve">Prueba Piloto Saber 2008 Hoja De </v>
          </cell>
        </row>
        <row r="2405">
          <cell r="F2405" t="str">
            <v xml:space="preserve">Registro Del Alumno Por Grado </v>
          </cell>
        </row>
        <row r="2406">
          <cell r="F2406" t="str">
            <v>Reglamento Carteleras</v>
          </cell>
        </row>
        <row r="2407">
          <cell r="F2407" t="str">
            <v>Reglamento Delegado</v>
          </cell>
        </row>
        <row r="2408">
          <cell r="F2408" t="str">
            <v xml:space="preserve">Reglas De Catalogacion </v>
          </cell>
        </row>
        <row r="2409">
          <cell r="F2409" t="str">
            <v>Rejilla Calificacion Ensayo Unad</v>
          </cell>
        </row>
        <row r="2410">
          <cell r="F2410" t="str">
            <v xml:space="preserve">Rejilla De Calificacion De </v>
          </cell>
        </row>
        <row r="2411">
          <cell r="F2411" t="str">
            <v>Rejilla De Calificacion De Ensayos</v>
          </cell>
        </row>
        <row r="2412">
          <cell r="F2412" t="str">
            <v xml:space="preserve">Rejilla De Calificacion De </v>
          </cell>
        </row>
        <row r="2413">
          <cell r="F2413" t="str">
            <v xml:space="preserve">Rejilla De Calificacion Ensayo </v>
          </cell>
        </row>
        <row r="2414">
          <cell r="F2414" t="str">
            <v xml:space="preserve">Rejilla De Calificacion Pregunta </v>
          </cell>
        </row>
        <row r="2415">
          <cell r="F2415" t="str">
            <v xml:space="preserve">Reseña Confrontacion Con </v>
          </cell>
        </row>
        <row r="2416">
          <cell r="F2416" t="str">
            <v>Resoluci0N 92 De 2008</v>
          </cell>
        </row>
        <row r="2417">
          <cell r="F2417" t="str">
            <v xml:space="preserve">Resoluciom 092 De Febrero 22 De </v>
          </cell>
        </row>
        <row r="2418">
          <cell r="F2418" t="str">
            <v>Resolucion Decreto 1196/1992</v>
          </cell>
        </row>
        <row r="2419">
          <cell r="F2419" t="str">
            <v>Resolucion Director (Hoja 1)</v>
          </cell>
        </row>
        <row r="2420">
          <cell r="F2420" t="str">
            <v>Resolucion Director (Hoja 2)</v>
          </cell>
        </row>
        <row r="2421">
          <cell r="F2421" t="str">
            <v>Resolucion Directora (Hoja 1)</v>
          </cell>
        </row>
        <row r="2422">
          <cell r="F2422" t="str">
            <v>Resolucion Directora (Hoja 2)</v>
          </cell>
        </row>
        <row r="2423">
          <cell r="F2423" t="str">
            <v xml:space="preserve">Resolucion No. 00256 Proceso De </v>
          </cell>
        </row>
        <row r="2424">
          <cell r="F2424" t="str">
            <v xml:space="preserve">Resolucion Secretario General Hoja </v>
          </cell>
        </row>
        <row r="2425">
          <cell r="F2425" t="str">
            <v xml:space="preserve">Resolucion Secretario General Hoja </v>
          </cell>
        </row>
        <row r="2426">
          <cell r="F2426" t="str">
            <v>Resolucion Vg2004-1</v>
          </cell>
        </row>
        <row r="2427">
          <cell r="F2427" t="str">
            <v>Restauracion De Libros</v>
          </cell>
        </row>
        <row r="2428">
          <cell r="F2428" t="str">
            <v xml:space="preserve">Revista Innovacion Y Ciencia </v>
          </cell>
        </row>
        <row r="2429">
          <cell r="F2429" t="str">
            <v xml:space="preserve">Revista Innovacion Y Ciencia </v>
          </cell>
        </row>
        <row r="2430">
          <cell r="F2430" t="str">
            <v>Rotulo Acta Primera Sesion</v>
          </cell>
        </row>
        <row r="2431">
          <cell r="F2431" t="str">
            <v>Rotulo Acta Sesion Examen Ac</v>
          </cell>
        </row>
        <row r="2432">
          <cell r="F2432" t="str">
            <v>Rotulo Puerta De Salon</v>
          </cell>
        </row>
        <row r="2433">
          <cell r="F2433" t="str">
            <v>Rotulos Acta Color Azul</v>
          </cell>
        </row>
        <row r="2434">
          <cell r="F2434" t="str">
            <v>Rotulos Acta Color Verde</v>
          </cell>
        </row>
        <row r="2435">
          <cell r="F2435" t="str">
            <v>Rotulos Acta Segunda Sesion</v>
          </cell>
        </row>
        <row r="2436">
          <cell r="F2436" t="str">
            <v>Rotulos Actas 1A. Y 2A. Sesion</v>
          </cell>
        </row>
        <row r="2437">
          <cell r="F2437" t="str">
            <v>Rotulos De Salon</v>
          </cell>
        </row>
        <row r="2438">
          <cell r="F2438" t="str">
            <v>Segunda Cartilla Matematicas Saber</v>
          </cell>
        </row>
        <row r="2439">
          <cell r="F2439" t="str">
            <v>Seminario Regional De Barranquilla</v>
          </cell>
        </row>
        <row r="2440">
          <cell r="F2440" t="str">
            <v>Separador</v>
          </cell>
        </row>
        <row r="2441">
          <cell r="F2441" t="str">
            <v>Separador Cid</v>
          </cell>
        </row>
        <row r="2442">
          <cell r="F2442" t="str">
            <v xml:space="preserve">Separador Consulta Internet </v>
          </cell>
        </row>
        <row r="2443">
          <cell r="F2443" t="str">
            <v>Separador De Hojas Pisa</v>
          </cell>
        </row>
        <row r="2444">
          <cell r="F2444" t="str">
            <v>Separador De Hojas Timms</v>
          </cell>
        </row>
        <row r="2445">
          <cell r="F2445" t="str">
            <v xml:space="preserve">Separador De Libros Icfes </v>
          </cell>
        </row>
        <row r="2446">
          <cell r="F2446" t="str">
            <v xml:space="preserve">Separador De Paginas Para </v>
          </cell>
        </row>
        <row r="2447">
          <cell r="F2447" t="str">
            <v xml:space="preserve">Separador Estudio Internacional De </v>
          </cell>
        </row>
        <row r="2448">
          <cell r="F2448" t="str">
            <v xml:space="preserve">Separador Ix Congreso Nacional De </v>
          </cell>
        </row>
        <row r="2449">
          <cell r="F2449" t="str">
            <v xml:space="preserve">Separador Proyecto Civica Iccs </v>
          </cell>
        </row>
        <row r="2450">
          <cell r="F2450" t="str">
            <v>Separadores Ecaes</v>
          </cell>
        </row>
        <row r="2451">
          <cell r="F2451" t="str">
            <v>Separadores En Ingles</v>
          </cell>
        </row>
        <row r="2452">
          <cell r="F2452" t="str">
            <v>Separadores Feria Del Libro</v>
          </cell>
        </row>
        <row r="2453">
          <cell r="F2453" t="str">
            <v>Separadores Prueba Pisa</v>
          </cell>
        </row>
        <row r="2454">
          <cell r="F2454" t="str">
            <v>Separadores Prueba Saber</v>
          </cell>
        </row>
        <row r="2455">
          <cell r="F2455" t="str">
            <v xml:space="preserve">Separadores Pruebas De Estado Y </v>
          </cell>
        </row>
        <row r="2456">
          <cell r="F2456" t="str">
            <v>Sobre Certificados Plantel -Pisa-</v>
          </cell>
        </row>
        <row r="2457">
          <cell r="F2457" t="str">
            <v xml:space="preserve">Sobre Diploma Andres Bello </v>
          </cell>
        </row>
        <row r="2458">
          <cell r="F2458" t="str">
            <v xml:space="preserve">Sobre Diploma Puntajes Mas Altos </v>
          </cell>
        </row>
        <row r="2459">
          <cell r="F2459" t="str">
            <v>Sobre Envio De Diplomas</v>
          </cell>
        </row>
        <row r="2460">
          <cell r="F2460" t="str">
            <v xml:space="preserve">Sobre Legancy Wove Ambar 120 </v>
          </cell>
        </row>
        <row r="2461">
          <cell r="F2461" t="str">
            <v>Sobre Para Cd</v>
          </cell>
        </row>
        <row r="2462">
          <cell r="F2462" t="str">
            <v xml:space="preserve">Sobre Para Empaque Distincion </v>
          </cell>
        </row>
        <row r="2463">
          <cell r="F2463" t="str">
            <v xml:space="preserve">Sobres Especiales Gigantes Para </v>
          </cell>
        </row>
        <row r="2464">
          <cell r="F2464" t="str">
            <v>Sobres Estadisticas 1998/1999</v>
          </cell>
        </row>
        <row r="2465">
          <cell r="F2465" t="str">
            <v xml:space="preserve">Soporte Puerta (Colgapuerta) </v>
          </cell>
        </row>
        <row r="2466">
          <cell r="F2466" t="str">
            <v>Tacos Seminario Internacional</v>
          </cell>
        </row>
        <row r="2467">
          <cell r="F2467" t="str">
            <v xml:space="preserve">Taller Elaboracion De Items </v>
          </cell>
        </row>
        <row r="2468">
          <cell r="F2468" t="str">
            <v xml:space="preserve">Taller Elaboracion De Items Regional </v>
          </cell>
        </row>
        <row r="2469">
          <cell r="F2469" t="str">
            <v xml:space="preserve">Taller Elaboracion De Items </v>
          </cell>
        </row>
        <row r="2470">
          <cell r="F2470" t="str">
            <v xml:space="preserve">Taller Elaboracion De Items </v>
          </cell>
        </row>
        <row r="2471">
          <cell r="F2471" t="str">
            <v xml:space="preserve">Taller Items Seminario Regional </v>
          </cell>
        </row>
        <row r="2472">
          <cell r="F2472" t="str">
            <v xml:space="preserve">Taller Procesamiento De Datos </v>
          </cell>
        </row>
        <row r="2473">
          <cell r="F2473" t="str">
            <v xml:space="preserve">Taller Procesamiento De Datos </v>
          </cell>
        </row>
        <row r="2474">
          <cell r="F2474" t="str">
            <v xml:space="preserve">Taller Procesamiento Regional </v>
          </cell>
        </row>
        <row r="2475">
          <cell r="F2475" t="str">
            <v xml:space="preserve">Taller Procesamiento Seminario </v>
          </cell>
        </row>
        <row r="2476">
          <cell r="F2476" t="str">
            <v xml:space="preserve">Taller Procesamiento Seminario </v>
          </cell>
        </row>
        <row r="2477">
          <cell r="F2477" t="str">
            <v xml:space="preserve">Talonario Comprobante De Venta De </v>
          </cell>
        </row>
        <row r="2478">
          <cell r="F2478" t="str">
            <v>Talonario Cumplido De Comision</v>
          </cell>
        </row>
        <row r="2479">
          <cell r="F2479" t="str">
            <v xml:space="preserve">Talonario Memorando Autorizacion </v>
          </cell>
        </row>
        <row r="2480">
          <cell r="F2480" t="str">
            <v>Talonario Solicitud De Duplicacion</v>
          </cell>
        </row>
        <row r="2481">
          <cell r="F2481" t="str">
            <v>Talonario Solicitud De Pedido</v>
          </cell>
        </row>
        <row r="2482">
          <cell r="F2482" t="str">
            <v>Talonario Solicitud De Publicacion</v>
          </cell>
        </row>
        <row r="2483">
          <cell r="F2483" t="str">
            <v xml:space="preserve">Tarjeta Capacitacion Dia Funcionario </v>
          </cell>
        </row>
        <row r="2484">
          <cell r="F2484" t="str">
            <v>Tarjeta De Armada De Prueba</v>
          </cell>
        </row>
        <row r="2485">
          <cell r="F2485" t="str">
            <v xml:space="preserve">Tarjeta De Informacion Y Fechas </v>
          </cell>
        </row>
        <row r="2486">
          <cell r="F2486" t="str">
            <v xml:space="preserve">Tarjeta De Invitacion Expociencia </v>
          </cell>
        </row>
        <row r="2487">
          <cell r="F2487" t="str">
            <v xml:space="preserve">Tarjeta De Lanzamiento Francisca </v>
          </cell>
        </row>
        <row r="2488">
          <cell r="F2488" t="str">
            <v>Tarjeta De Registro De Lectores</v>
          </cell>
        </row>
        <row r="2489">
          <cell r="F2489" t="str">
            <v xml:space="preserve">Tarjeta Estadisticos-Pegue De </v>
          </cell>
        </row>
        <row r="2490">
          <cell r="F2490" t="str">
            <v>Tarjeta Exposicion Olor Del Color</v>
          </cell>
        </row>
        <row r="2491">
          <cell r="F2491" t="str">
            <v xml:space="preserve">Tarjeta Invitacion Seminario </v>
          </cell>
        </row>
        <row r="2492">
          <cell r="F2492" t="str">
            <v xml:space="preserve">Tarjeta Lanzamiento Libro Estados </v>
          </cell>
        </row>
        <row r="2493">
          <cell r="F2493" t="str">
            <v xml:space="preserve">Tarjetas Bolsillo Para Marcar </v>
          </cell>
        </row>
        <row r="2494">
          <cell r="F2494" t="str">
            <v xml:space="preserve">Tarjetas De Bienvenida Seminario </v>
          </cell>
        </row>
        <row r="2495">
          <cell r="F2495" t="str">
            <v>Tarjetas De Divulgacion Institucional</v>
          </cell>
        </row>
        <row r="2496">
          <cell r="F2496" t="str">
            <v xml:space="preserve">Tarjetas De Invitacion Premiacion </v>
          </cell>
        </row>
        <row r="2497">
          <cell r="F2497" t="str">
            <v xml:space="preserve">Tarjetas Encuentro Iberoamericano </v>
          </cell>
        </row>
        <row r="2498">
          <cell r="F2498" t="str">
            <v xml:space="preserve">Tarjetas Fechas Examenes De </v>
          </cell>
        </row>
        <row r="2499">
          <cell r="F2499" t="str">
            <v xml:space="preserve">Tarjetas Guia Academica </v>
          </cell>
        </row>
        <row r="2500">
          <cell r="F2500" t="str">
            <v xml:space="preserve">Tarjetas Informacion Examenes De </v>
          </cell>
        </row>
        <row r="2501">
          <cell r="F2501" t="str">
            <v>Tarjetas Navidenas</v>
          </cell>
        </row>
        <row r="2502">
          <cell r="F2502" t="str">
            <v xml:space="preserve">Tarjetas Para Eleccion Comision De </v>
          </cell>
        </row>
        <row r="2503">
          <cell r="F2503" t="str">
            <v xml:space="preserve">Tarjetas Participantes Taller 1 </v>
          </cell>
        </row>
        <row r="2504">
          <cell r="F2504" t="str">
            <v xml:space="preserve">Tarjetas Participantes Taller 2 </v>
          </cell>
        </row>
        <row r="2505">
          <cell r="F2505" t="str">
            <v>Tarjetas Prueba Definitiva</v>
          </cell>
        </row>
        <row r="2506">
          <cell r="F2506" t="str">
            <v xml:space="preserve">Tarjetas Recordatorio Seminario </v>
          </cell>
        </row>
        <row r="2507">
          <cell r="F2507" t="str">
            <v>Volante Saber 11</v>
          </cell>
        </row>
        <row r="2508">
          <cell r="F2508" t="str">
            <v xml:space="preserve">Volantes Guia Uso Pin Banco </v>
          </cell>
        </row>
        <row r="2509">
          <cell r="F2509" t="str">
            <v>Volantes Informativos</v>
          </cell>
        </row>
        <row r="2510">
          <cell r="F2510" t="str">
            <v>Volantes Saber Pro</v>
          </cell>
        </row>
        <row r="2511">
          <cell r="F2511" t="str">
            <v>Volantes Seminario Internacional</v>
          </cell>
        </row>
        <row r="2512">
          <cell r="F2512" t="str">
            <v>Plegable Expohanover 2000</v>
          </cell>
        </row>
        <row r="2513">
          <cell r="F2513" t="str">
            <v>Boletin Informativo No.5 Del Cna</v>
          </cell>
        </row>
        <row r="2514">
          <cell r="F2514" t="str">
            <v xml:space="preserve">Plegable Calidad En Programas De </v>
          </cell>
        </row>
        <row r="2515">
          <cell r="F2515" t="str">
            <v xml:space="preserve">Pelgable Calidad En Programas De </v>
          </cell>
        </row>
        <row r="2516">
          <cell r="F2516" t="str">
            <v xml:space="preserve">Plegable Calidad En Programas De </v>
          </cell>
        </row>
        <row r="2517">
          <cell r="F2517" t="str">
            <v xml:space="preserve">Plegable Calidad En Programas De </v>
          </cell>
        </row>
        <row r="2518">
          <cell r="F2518" t="str">
            <v xml:space="preserve">Plegable Ficha De Inscripcion Taller </v>
          </cell>
        </row>
        <row r="2519">
          <cell r="F2519" t="str">
            <v xml:space="preserve">Plegable Premio Nacional De </v>
          </cell>
        </row>
        <row r="2520">
          <cell r="F2520" t="str">
            <v xml:space="preserve">Plegables Formacion De Profesores </v>
          </cell>
        </row>
        <row r="2521">
          <cell r="F2521" t="str">
            <v>Dialogo Entre Pares</v>
          </cell>
        </row>
        <row r="2522">
          <cell r="F2522" t="str">
            <v xml:space="preserve">Plegables Impresos En Litografia A </v>
          </cell>
        </row>
        <row r="2523">
          <cell r="F2523" t="str">
            <v xml:space="preserve">Plegable Ref.Programas Impresos </v>
          </cell>
        </row>
        <row r="2524">
          <cell r="F2524" t="str">
            <v xml:space="preserve">Afiches Impresos En Litografia A </v>
          </cell>
        </row>
        <row r="2525">
          <cell r="F2525" t="str">
            <v xml:space="preserve">Escarapelas Impresas En Litografia </v>
          </cell>
        </row>
        <row r="2526">
          <cell r="F2526" t="str">
            <v xml:space="preserve">Formatos De Inscripcion Tamaño </v>
          </cell>
        </row>
        <row r="2527">
          <cell r="F2527" t="str">
            <v xml:space="preserve">Plegable Dialogo Entre Pares </v>
          </cell>
        </row>
        <row r="2528">
          <cell r="F2528" t="str">
            <v xml:space="preserve">Plegable Catedra Agustin Nieto </v>
          </cell>
        </row>
        <row r="2529">
          <cell r="F2529" t="str">
            <v xml:space="preserve">Plegable Dialogo Entre Pares Papel </v>
          </cell>
        </row>
        <row r="2530">
          <cell r="F2530" t="str">
            <v>Plegable Icfes Interactivo</v>
          </cell>
        </row>
        <row r="2531">
          <cell r="F2531" t="str">
            <v xml:space="preserve">Plegable Con Informacion Por </v>
          </cell>
        </row>
        <row r="2532">
          <cell r="F2532" t="str">
            <v xml:space="preserve">Plegable Informativo, Tres Cuerpos, </v>
          </cell>
        </row>
        <row r="2533">
          <cell r="F2533" t="str">
            <v xml:space="preserve">Folleto De Informacion Para Talleres </v>
          </cell>
        </row>
        <row r="2534">
          <cell r="F2534" t="str">
            <v>Plegables Seminario Internacional</v>
          </cell>
        </row>
        <row r="2535">
          <cell r="F2535" t="str">
            <v xml:space="preserve">Plegable Seminario Internacional </v>
          </cell>
        </row>
        <row r="2536">
          <cell r="F2536" t="str">
            <v xml:space="preserve">Plegable Pagina Web Seminario </v>
          </cell>
        </row>
        <row r="2537">
          <cell r="F2537" t="str">
            <v xml:space="preserve">Plegable Carta De Invitacion </v>
          </cell>
        </row>
        <row r="2538">
          <cell r="F2538" t="str">
            <v xml:space="preserve">Plegable Seminario Regional De </v>
          </cell>
        </row>
        <row r="2539">
          <cell r="F2539" t="str">
            <v xml:space="preserve">Plegables Seminario De Evaluacion </v>
          </cell>
        </row>
        <row r="2540">
          <cell r="F2540" t="str">
            <v xml:space="preserve">Plegable Seminario Regional Zona </v>
          </cell>
        </row>
        <row r="2541">
          <cell r="F2541" t="str">
            <v>Plegable Seminario Regional -Cali-</v>
          </cell>
        </row>
        <row r="2542">
          <cell r="F2542" t="str">
            <v xml:space="preserve">Plegable Seminario Evaluacion </v>
          </cell>
        </row>
        <row r="2543">
          <cell r="F2543" t="str">
            <v>Plegable Instructivo Ac</v>
          </cell>
        </row>
        <row r="2544">
          <cell r="F2544" t="str">
            <v>Plegable Proyecto Civica Iccs 2009</v>
          </cell>
        </row>
        <row r="2545">
          <cell r="F2545" t="str">
            <v>Plegable Feria Del Libro Ac</v>
          </cell>
        </row>
        <row r="2546">
          <cell r="F2546" t="str">
            <v>Plegable Ecaes Feria Del Libro</v>
          </cell>
        </row>
        <row r="2547">
          <cell r="F2547" t="str">
            <v xml:space="preserve">Plegable Evaluacion Internacional </v>
          </cell>
        </row>
        <row r="2548">
          <cell r="F2548" t="str">
            <v xml:space="preserve">Plegable Estudio Internacional </v>
          </cell>
        </row>
        <row r="2549">
          <cell r="F2549" t="str">
            <v xml:space="preserve">Plegable Que Hacer En Caso De </v>
          </cell>
        </row>
        <row r="2550">
          <cell r="F2550" t="str">
            <v>Afiches Pisa Cuatro Tintas 35X50</v>
          </cell>
        </row>
        <row r="2551">
          <cell r="F2551" t="str">
            <v>Hoja Resolucion Director N0.1</v>
          </cell>
        </row>
        <row r="2552">
          <cell r="F2552" t="str">
            <v>Hoja Acuerdo No.2</v>
          </cell>
        </row>
        <row r="2553">
          <cell r="F2553" t="str">
            <v>Hoja Secretario General Copia No.1</v>
          </cell>
        </row>
        <row r="2554">
          <cell r="F2554" t="str">
            <v>Hoja Resolucion Director No.2</v>
          </cell>
        </row>
        <row r="2555">
          <cell r="F2555" t="str">
            <v xml:space="preserve">Hoja Copia Subdirectr Administrativo </v>
          </cell>
        </row>
        <row r="2556">
          <cell r="F2556" t="str">
            <v>Papel Copia Oficio Sin Membrete</v>
          </cell>
        </row>
        <row r="2557">
          <cell r="F2557" t="str">
            <v>Papel Copia Carta Sin Membrete</v>
          </cell>
        </row>
        <row r="2558">
          <cell r="F2558" t="str">
            <v>Papel Comunicacion Interna</v>
          </cell>
        </row>
        <row r="2559">
          <cell r="F2559" t="str">
            <v xml:space="preserve">Hoja Resolucion Subdirector </v>
          </cell>
        </row>
        <row r="2560">
          <cell r="F2560" t="str">
            <v xml:space="preserve">Papel Membreteado Icfes De 75 </v>
          </cell>
        </row>
        <row r="2561">
          <cell r="F2561" t="str">
            <v xml:space="preserve">Instrucciones De Correspondencia </v>
          </cell>
        </row>
        <row r="2562">
          <cell r="F2562" t="str">
            <v>Instructivos De Correspondencia</v>
          </cell>
        </row>
        <row r="2563">
          <cell r="F2563" t="str">
            <v xml:space="preserve">Papel Membrete De 90 Gramos </v>
          </cell>
        </row>
        <row r="2564">
          <cell r="F2564" t="str">
            <v xml:space="preserve">Hojas Membretes En Papel Bond </v>
          </cell>
        </row>
        <row r="2565">
          <cell r="F2565" t="str">
            <v xml:space="preserve">Hojas Membrete En Kimberly </v>
          </cell>
        </row>
        <row r="2566">
          <cell r="F2566" t="str">
            <v xml:space="preserve">Sobres Oficio En Litografia A 1X0 </v>
          </cell>
        </row>
        <row r="2567">
          <cell r="F2567" t="str">
            <v xml:space="preserve">Sobres Oficio En Litografia A 1X0 </v>
          </cell>
        </row>
        <row r="2568">
          <cell r="F2568" t="str">
            <v xml:space="preserve">Sobres De Manila 1/2 Carta 17.5X24 </v>
          </cell>
        </row>
        <row r="2569">
          <cell r="F2569" t="str">
            <v xml:space="preserve">Sobres De Manila Carta 22.5X29 Cm </v>
          </cell>
        </row>
        <row r="2570">
          <cell r="F2570" t="str">
            <v xml:space="preserve">Sobres De Manila Oficio 25X35 Cm </v>
          </cell>
        </row>
        <row r="2571">
          <cell r="F2571" t="str">
            <v xml:space="preserve">Sobres De Manila Gigante 27X37 Cm </v>
          </cell>
        </row>
        <row r="2572">
          <cell r="F2572" t="str">
            <v xml:space="preserve">Hoja Acuerdo Consejo Directivo No. </v>
          </cell>
        </row>
        <row r="2573">
          <cell r="F2573" t="str">
            <v xml:space="preserve">Carpeta Membreteada Icfes Tamaño </v>
          </cell>
        </row>
        <row r="2574">
          <cell r="F2574" t="str">
            <v xml:space="preserve">Carpeta Membreteada Icfes Tamaño </v>
          </cell>
        </row>
        <row r="2575">
          <cell r="F2575" t="str">
            <v xml:space="preserve">Carpeta Parograma Nacional De </v>
          </cell>
        </row>
        <row r="2576">
          <cell r="F2576" t="str">
            <v xml:space="preserve">Carpeta Plastificada Tamaño Oficio, </v>
          </cell>
        </row>
        <row r="2577">
          <cell r="F2577" t="str">
            <v xml:space="preserve">Carpeta Plastificada, Tamaño Carta </v>
          </cell>
        </row>
        <row r="2578">
          <cell r="F2578" t="str">
            <v xml:space="preserve">Caratula Plastificada Con Ventana, </v>
          </cell>
        </row>
        <row r="2579">
          <cell r="F2579" t="str">
            <v>Sobres Para Distincion Andres Bello</v>
          </cell>
        </row>
        <row r="2580">
          <cell r="F2580" t="str">
            <v>Sobres Mejores Bachilleres Del Pais</v>
          </cell>
        </row>
        <row r="2581">
          <cell r="F2581" t="str">
            <v xml:space="preserve">Libreta Para Apuntes X 50 Hojas </v>
          </cell>
        </row>
        <row r="2582">
          <cell r="F2582" t="str">
            <v xml:space="preserve">Carpeta En Propalcote 240 Grs </v>
          </cell>
        </row>
        <row r="2583">
          <cell r="F2583" t="str">
            <v xml:space="preserve">Papel Membrete Seminario </v>
          </cell>
        </row>
        <row r="2584">
          <cell r="F2584" t="str">
            <v xml:space="preserve">Papel Membreteado Icfes De 90 </v>
          </cell>
        </row>
        <row r="2585">
          <cell r="F2585" t="str">
            <v xml:space="preserve">Mapa Vital Y Turistico De Colombia </v>
          </cell>
        </row>
        <row r="2586">
          <cell r="F2586" t="str">
            <v>Mapa Politico De Colombia 70 X 100</v>
          </cell>
        </row>
        <row r="2587">
          <cell r="F2587" t="str">
            <v>Revista Construdata</v>
          </cell>
        </row>
        <row r="2588">
          <cell r="F2588" t="str">
            <v>SELLOS Y OTROS</v>
          </cell>
        </row>
        <row r="2590">
          <cell r="F2590" t="str">
            <v>SELLOS Y OTROS</v>
          </cell>
        </row>
        <row r="2591">
          <cell r="F2591" t="str">
            <v>Numerador De Caucho</v>
          </cell>
        </row>
        <row r="2592">
          <cell r="F2592" t="str">
            <v xml:space="preserve">Sello En Madera Grande </v>
          </cell>
        </row>
        <row r="2593">
          <cell r="F2593" t="str">
            <v xml:space="preserve">Sello En Madera Redondo, Grupo </v>
          </cell>
        </row>
        <row r="2594">
          <cell r="F2594" t="str">
            <v xml:space="preserve">Sello En Madera Publicaciones </v>
          </cell>
        </row>
        <row r="2595">
          <cell r="F2595" t="str">
            <v xml:space="preserve">Numerador Automatico 8 Digitos 7 </v>
          </cell>
        </row>
        <row r="2596">
          <cell r="F2596" t="str">
            <v xml:space="preserve">Numerador De Correspondencia </v>
          </cell>
        </row>
        <row r="2597">
          <cell r="F2597" t="str">
            <v>Sello Base En Madera Facsimil</v>
          </cell>
        </row>
        <row r="2598">
          <cell r="F2598" t="str">
            <v xml:space="preserve">Sello Base Madera Paguese A </v>
          </cell>
        </row>
        <row r="2599">
          <cell r="F2599" t="str">
            <v>Sello En Madera</v>
          </cell>
        </row>
        <row r="2600">
          <cell r="F2600" t="str">
            <v>Numerador De Caucho Grande</v>
          </cell>
        </row>
        <row r="2601">
          <cell r="F2601" t="str">
            <v xml:space="preserve">Sello De Recibido Con Fechador Of. </v>
          </cell>
        </row>
        <row r="2602">
          <cell r="F2602" t="str">
            <v>Numerador Metalico Automatico</v>
          </cell>
        </row>
        <row r="2603">
          <cell r="F2603" t="str">
            <v>Sello En Caucho Original Firmado</v>
          </cell>
        </row>
        <row r="2604">
          <cell r="F2604" t="str">
            <v>Sello Seco Manual</v>
          </cell>
        </row>
        <row r="2605">
          <cell r="F2605" t="str">
            <v>Fechador En Caucho</v>
          </cell>
        </row>
        <row r="2606">
          <cell r="F2606" t="str">
            <v>Fechador (Cna)</v>
          </cell>
        </row>
        <row r="2607">
          <cell r="F2607" t="str">
            <v>Fechador Metalico</v>
          </cell>
        </row>
        <row r="2608">
          <cell r="F2608" t="str">
            <v xml:space="preserve">Almohadilla Para Numerador </v>
          </cell>
        </row>
        <row r="2609">
          <cell r="F2609" t="str">
            <v>Almohadilla Para Sellos</v>
          </cell>
        </row>
        <row r="2610">
          <cell r="F2610" t="str">
            <v>Almohadilla Para Sellos</v>
          </cell>
        </row>
        <row r="2611">
          <cell r="F2611" t="str">
            <v xml:space="preserve">Almohadilla Para Sello Tamaño </v>
          </cell>
        </row>
        <row r="2612">
          <cell r="F2612" t="str">
            <v>Almohadilla Dactilar Tipo Americano</v>
          </cell>
        </row>
        <row r="2613">
          <cell r="F2613" t="str">
            <v xml:space="preserve">Almohadillas De Bolsillo Perfect </v>
          </cell>
        </row>
        <row r="2614">
          <cell r="F2614" t="str">
            <v>Huellero</v>
          </cell>
        </row>
        <row r="2615">
          <cell r="F2615" t="str">
            <v>Huelleros Dactilares</v>
          </cell>
        </row>
        <row r="2616">
          <cell r="F2616" t="str">
            <v>ACCESORIOS PARA MAQUINAS</v>
          </cell>
        </row>
        <row r="2618">
          <cell r="F2618" t="str">
            <v>ACCESORIOS PARA MAQUINAS</v>
          </cell>
        </row>
        <row r="2619">
          <cell r="F2619" t="str">
            <v>Carbon Para El Quemador</v>
          </cell>
        </row>
        <row r="2620">
          <cell r="F2620" t="str">
            <v>Cuchilla Lavador Rioby 2800</v>
          </cell>
        </row>
        <row r="2621">
          <cell r="F2621" t="str">
            <v>Cuchilla Tintero Rioby</v>
          </cell>
        </row>
        <row r="2622">
          <cell r="F2622" t="str">
            <v>Chupas Grandes Para Planeta</v>
          </cell>
        </row>
        <row r="2623">
          <cell r="F2623" t="str">
            <v>Chupas Para Rioby 2800 Y 500N</v>
          </cell>
        </row>
        <row r="2624">
          <cell r="F2624" t="str">
            <v>Chupas Pequeñas Para Planeta</v>
          </cell>
        </row>
        <row r="2625">
          <cell r="F2625" t="str">
            <v xml:space="preserve">Chupas Apezonadas Para Speed </v>
          </cell>
        </row>
        <row r="2626">
          <cell r="F2626" t="str">
            <v>Chupas Para Speed Master</v>
          </cell>
        </row>
        <row r="2627">
          <cell r="F2627" t="str">
            <v>Filamentos Para Matricera Ricoh</v>
          </cell>
        </row>
        <row r="2628">
          <cell r="F2628" t="str">
            <v xml:space="preserve">Mantilla Para Maquina Planeta De </v>
          </cell>
        </row>
        <row r="2629">
          <cell r="F2629" t="str">
            <v xml:space="preserve">Mantilla Maquina Speed Master De </v>
          </cell>
        </row>
        <row r="2630">
          <cell r="F2630" t="str">
            <v>Mantilla Maquina Rioby 2800</v>
          </cell>
        </row>
        <row r="2631">
          <cell r="F2631" t="str">
            <v>Mantilla Maquina Rioby 500N</v>
          </cell>
        </row>
        <row r="2632">
          <cell r="F2632" t="str">
            <v xml:space="preserve">Molleton Maquina Planeta De 11 </v>
          </cell>
        </row>
        <row r="2633">
          <cell r="F2633" t="str">
            <v>Molleton Maquina Planeta De 9 Cms</v>
          </cell>
        </row>
        <row r="2634">
          <cell r="F2634" t="str">
            <v>Molleton Maquina Planeta De 8 Cms</v>
          </cell>
        </row>
        <row r="2635">
          <cell r="F2635" t="str">
            <v>Molleton Maquinas Rioby</v>
          </cell>
        </row>
        <row r="2636">
          <cell r="F2636" t="str">
            <v>Molleton Para Maquina Hamada</v>
          </cell>
        </row>
        <row r="2637">
          <cell r="F2637" t="str">
            <v>Molleton Para Maquina Multilith</v>
          </cell>
        </row>
        <row r="2638">
          <cell r="F2638" t="str">
            <v xml:space="preserve">Molleton De 200 Mm Circunferencia </v>
          </cell>
        </row>
        <row r="2639">
          <cell r="F2639" t="str">
            <v>Muelle Guia</v>
          </cell>
        </row>
        <row r="2640">
          <cell r="F2640" t="str">
            <v>Racleta</v>
          </cell>
        </row>
        <row r="2641">
          <cell r="F2641" t="str">
            <v>Tira De Lazos</v>
          </cell>
        </row>
        <row r="2642">
          <cell r="F2642" t="str">
            <v>Tira De Ganchos</v>
          </cell>
        </row>
        <row r="2643">
          <cell r="F2643" t="str">
            <v>Muelle Neumatico</v>
          </cell>
        </row>
        <row r="2644">
          <cell r="F2644" t="str">
            <v>Manguera Con Refuerzo Espiral</v>
          </cell>
        </row>
        <row r="2645">
          <cell r="F2645" t="str">
            <v>Cuchilla Del Tintero Cpl</v>
          </cell>
        </row>
        <row r="2646">
          <cell r="F2646" t="str">
            <v>Pulsador Luminoso</v>
          </cell>
        </row>
        <row r="2647">
          <cell r="F2647" t="str">
            <v xml:space="preserve">Portalamparas Para Pulsador </v>
          </cell>
        </row>
        <row r="2648">
          <cell r="F2648" t="str">
            <v>Pulsador</v>
          </cell>
        </row>
        <row r="2649">
          <cell r="F2649" t="str">
            <v>Pulsador</v>
          </cell>
        </row>
        <row r="2650">
          <cell r="F2650" t="str">
            <v>Palpador</v>
          </cell>
        </row>
        <row r="2651">
          <cell r="F2651" t="str">
            <v>Lampara</v>
          </cell>
        </row>
        <row r="2652">
          <cell r="F2652" t="str">
            <v>Sensor</v>
          </cell>
        </row>
        <row r="2653">
          <cell r="F2653" t="str">
            <v>Valvula Electromagnetica</v>
          </cell>
        </row>
        <row r="2654">
          <cell r="F2654" t="str">
            <v>Juego De Mallas Especiales</v>
          </cell>
        </row>
        <row r="2655">
          <cell r="F2655" t="str">
            <v>Muelle Neumatico</v>
          </cell>
        </row>
        <row r="2656">
          <cell r="F2656" t="str">
            <v>Muelle Neumatico</v>
          </cell>
        </row>
        <row r="2657">
          <cell r="F2657" t="str">
            <v xml:space="preserve">Mantillas Para Speed Master 76.8 </v>
          </cell>
        </row>
        <row r="2658">
          <cell r="F2658" t="str">
            <v xml:space="preserve">Bandas Inferiores De Desecho Del </v>
          </cell>
        </row>
        <row r="2659">
          <cell r="F2659" t="str">
            <v xml:space="preserve">Bandas Superiores De Desecho De </v>
          </cell>
        </row>
        <row r="2660">
          <cell r="F2660" t="str">
            <v>Uña De Salida</v>
          </cell>
        </row>
        <row r="2661">
          <cell r="F2661" t="str">
            <v>Motor- Ac15W</v>
          </cell>
        </row>
        <row r="2662">
          <cell r="F2662" t="str">
            <v xml:space="preserve">Manguera De Aire Comprimido </v>
          </cell>
        </row>
        <row r="2663">
          <cell r="F2663" t="str">
            <v>ARTÍCULOS DE EDICIÓN E IMPRENTA</v>
          </cell>
        </row>
        <row r="2665">
          <cell r="F2665" t="str">
            <v xml:space="preserve">ARTICULOS DE EDICION E </v>
          </cell>
        </row>
        <row r="2666">
          <cell r="F2666" t="str">
            <v xml:space="preserve">Planchas Negativas 1 Cara De </v>
          </cell>
        </row>
        <row r="2667">
          <cell r="F2667" t="str">
            <v xml:space="preserve">Planchas Positivas 1 Cara De </v>
          </cell>
        </row>
        <row r="2668">
          <cell r="F2668" t="str">
            <v xml:space="preserve">Planchas Negativas 2 Caras De </v>
          </cell>
        </row>
        <row r="2669">
          <cell r="F2669" t="str">
            <v xml:space="preserve">Planchas Negativas Dos Caras De </v>
          </cell>
        </row>
        <row r="2670">
          <cell r="F2670" t="str">
            <v xml:space="preserve">Planchas Negativas Dos Caras De </v>
          </cell>
        </row>
        <row r="2671">
          <cell r="F2671" t="str">
            <v xml:space="preserve">Plancha Negativa 2 Caras De 39X48 </v>
          </cell>
        </row>
        <row r="2672">
          <cell r="F2672" t="str">
            <v xml:space="preserve">Plancha Kodak Negativa 1 Cara </v>
          </cell>
        </row>
        <row r="2673">
          <cell r="F2673" t="str">
            <v>Planchas Electrostaticas Largo Tiraje</v>
          </cell>
        </row>
        <row r="2674">
          <cell r="F2674" t="str">
            <v>Planchas Ryobi 500 40.5 X48.3 Cms</v>
          </cell>
        </row>
        <row r="2675">
          <cell r="F2675" t="str">
            <v xml:space="preserve">Pelicula Fotocomponedora De </v>
          </cell>
        </row>
        <row r="2676">
          <cell r="F2676" t="str">
            <v xml:space="preserve">Pelicula Fotocomponedora De </v>
          </cell>
        </row>
        <row r="2677">
          <cell r="F2677" t="str">
            <v xml:space="preserve">Pelicula Fotocomponedora De </v>
          </cell>
        </row>
        <row r="2678">
          <cell r="F2678" t="str">
            <v>Pelicula Camara 2000 De 60X60 Mts</v>
          </cell>
        </row>
        <row r="2679">
          <cell r="F2679" t="str">
            <v>Pelicula Hn De 35.5X76,25 Metros</v>
          </cell>
        </row>
        <row r="2680">
          <cell r="F2680" t="str">
            <v xml:space="preserve">Pelicula Fotocomponedora Agfa Hn </v>
          </cell>
        </row>
        <row r="2681">
          <cell r="F2681" t="str">
            <v xml:space="preserve">Pelicula De Fotocomposicion Agfa </v>
          </cell>
        </row>
        <row r="2682">
          <cell r="F2682" t="str">
            <v xml:space="preserve">Pelicula Camara 2000 De 14 X 200 </v>
          </cell>
        </row>
        <row r="2683">
          <cell r="F2683" t="str">
            <v xml:space="preserve">Acelerador De Secamiento Ref. </v>
          </cell>
        </row>
        <row r="2684">
          <cell r="F2684" t="str">
            <v>Antisecante En Aerosol</v>
          </cell>
        </row>
        <row r="2685">
          <cell r="F2685" t="str">
            <v>Pasta Secante Ref. 5779</v>
          </cell>
        </row>
        <row r="2686">
          <cell r="F2686" t="str">
            <v xml:space="preserve">Tinta Litografica Rojo Escarlata </v>
          </cell>
        </row>
        <row r="2687">
          <cell r="F2687" t="str">
            <v xml:space="preserve">Tinta Litografica Amarillo Process </v>
          </cell>
        </row>
        <row r="2688">
          <cell r="F2688" t="str">
            <v xml:space="preserve">Tinta Litografica Amarillo Process </v>
          </cell>
        </row>
        <row r="2689">
          <cell r="F2689" t="str">
            <v>Tinta Litografica Amarillo Ref-5120</v>
          </cell>
        </row>
        <row r="2690">
          <cell r="F2690" t="str">
            <v xml:space="preserve">Tinta Litografica Amarillo Rojizo </v>
          </cell>
        </row>
        <row r="2691">
          <cell r="F2691" t="str">
            <v>Tinta Litografica Azul Claro Ref-5127</v>
          </cell>
        </row>
        <row r="2692">
          <cell r="F2692" t="str">
            <v xml:space="preserve">Tinta Litografica Azul Oriental </v>
          </cell>
        </row>
        <row r="2693">
          <cell r="F2693" t="str">
            <v xml:space="preserve">Tinta Litografica Azul Process </v>
          </cell>
        </row>
        <row r="2694">
          <cell r="F2694" t="str">
            <v xml:space="preserve">Tinta Litografica Azul Process </v>
          </cell>
        </row>
        <row r="2695">
          <cell r="F2695" t="str">
            <v xml:space="preserve">Tinta Litografica Azul Process </v>
          </cell>
        </row>
        <row r="2696">
          <cell r="F2696" t="str">
            <v xml:space="preserve">Tinta Litografica Azul Reflejo </v>
          </cell>
        </row>
        <row r="2697">
          <cell r="F2697" t="str">
            <v xml:space="preserve">Tinta Litografica Azul Bronce </v>
          </cell>
        </row>
        <row r="2698">
          <cell r="F2698" t="str">
            <v xml:space="preserve">Tinta Litografica Blanco Opaco </v>
          </cell>
        </row>
        <row r="2699">
          <cell r="F2699" t="str">
            <v xml:space="preserve">Tinta Litografica Blanco </v>
          </cell>
        </row>
        <row r="2700">
          <cell r="F2700" t="str">
            <v xml:space="preserve">Tinta Litografica Magenta Process </v>
          </cell>
        </row>
        <row r="2701">
          <cell r="F2701" t="str">
            <v xml:space="preserve">Tinta Litografica Naranja Basico </v>
          </cell>
        </row>
        <row r="2702">
          <cell r="F2702" t="str">
            <v xml:space="preserve">Tinta Litografica Negro Process </v>
          </cell>
        </row>
        <row r="2703">
          <cell r="F2703" t="str">
            <v xml:space="preserve">Tinta Litografica Oro Rico Ref-5405 </v>
          </cell>
        </row>
        <row r="2704">
          <cell r="F2704" t="str">
            <v>Tinta Litografica Plateada Ref-5407</v>
          </cell>
        </row>
        <row r="2705">
          <cell r="F2705" t="str">
            <v xml:space="preserve">Tinta Litografica Rojo Fuego </v>
          </cell>
        </row>
        <row r="2706">
          <cell r="F2706" t="str">
            <v xml:space="preserve">Tinta Litografica Sepia Ref-5138 </v>
          </cell>
        </row>
        <row r="2707">
          <cell r="F2707" t="str">
            <v xml:space="preserve">Tinta Litografica Verde Amarillo </v>
          </cell>
        </row>
        <row r="2708">
          <cell r="F2708" t="str">
            <v xml:space="preserve">Tinta Litografica Verde Basico </v>
          </cell>
        </row>
        <row r="2709">
          <cell r="F2709" t="str">
            <v xml:space="preserve">Tinta Litografica Verde Claro </v>
          </cell>
        </row>
        <row r="2710">
          <cell r="F2710" t="str">
            <v xml:space="preserve">Tinta Litografica Verde Medio </v>
          </cell>
        </row>
        <row r="2711">
          <cell r="F2711" t="str">
            <v xml:space="preserve">Tinta Litografica Azul Dielle Plus </v>
          </cell>
        </row>
        <row r="2712">
          <cell r="F2712" t="str">
            <v xml:space="preserve">Tinta Litografica Negro Dielle Plus </v>
          </cell>
        </row>
        <row r="2713">
          <cell r="F2713" t="str">
            <v xml:space="preserve">Tinta Litografica Amarillo Dielle Plus </v>
          </cell>
        </row>
        <row r="2714">
          <cell r="F2714" t="str">
            <v>Tinta Litografica Purpura</v>
          </cell>
        </row>
        <row r="2715">
          <cell r="F2715" t="str">
            <v>Tinta Litografica Rojo Indio</v>
          </cell>
        </row>
        <row r="2716">
          <cell r="F2716" t="str">
            <v>Tinta Litografica Violeta</v>
          </cell>
        </row>
        <row r="2717">
          <cell r="F2717" t="str">
            <v>Tinta Duplicadora Gestetner</v>
          </cell>
        </row>
        <row r="2718">
          <cell r="F2718" t="str">
            <v>Barniz Para Impresion T-4800</v>
          </cell>
        </row>
        <row r="2719">
          <cell r="F2719" t="str">
            <v>Tinta Azul</v>
          </cell>
        </row>
        <row r="2720">
          <cell r="F2720" t="str">
            <v>Barniz Sobre Impresion Brillante</v>
          </cell>
        </row>
        <row r="2721">
          <cell r="F2721" t="str">
            <v>Barniz Sobre Impresion Mate</v>
          </cell>
        </row>
        <row r="2722">
          <cell r="F2722" t="str">
            <v>Pasta Duplex</v>
          </cell>
        </row>
        <row r="2723">
          <cell r="F2723" t="str">
            <v>Tinta Litografica Azul Basico</v>
          </cell>
        </row>
        <row r="2724">
          <cell r="F2724" t="str">
            <v>Guardafilo Guillotina Sey 115</v>
          </cell>
        </row>
        <row r="2725">
          <cell r="F2725" t="str">
            <v>Guardafilo Guillotina Acbm-83</v>
          </cell>
        </row>
        <row r="2726">
          <cell r="F2726" t="str">
            <v xml:space="preserve">Telas De Lavado Para Maquina </v>
          </cell>
        </row>
        <row r="2727">
          <cell r="F2727" t="str">
            <v>Tela Para Filtro</v>
          </cell>
        </row>
        <row r="2728">
          <cell r="F2728" t="str">
            <v>Tela Guata</v>
          </cell>
        </row>
        <row r="2729">
          <cell r="F2729" t="str">
            <v>Pegante Hot Meltex</v>
          </cell>
        </row>
        <row r="2730">
          <cell r="F2730" t="str">
            <v>Acetato Milimetrado</v>
          </cell>
        </row>
        <row r="2731">
          <cell r="F2731" t="str">
            <v>Goma Preservativa</v>
          </cell>
        </row>
        <row r="2732">
          <cell r="F2732" t="str">
            <v xml:space="preserve">Goma Universal Preservativa Larga </v>
          </cell>
        </row>
        <row r="2733">
          <cell r="F2733" t="str">
            <v xml:space="preserve">Goma Universal Preservativa Corta </v>
          </cell>
        </row>
        <row r="2734">
          <cell r="F2734" t="str">
            <v>Acetatos Para Montaje Calibre 18</v>
          </cell>
        </row>
        <row r="2735">
          <cell r="F2735" t="str">
            <v>Fijador Fijarte</v>
          </cell>
        </row>
        <row r="2736">
          <cell r="F2736" t="str">
            <v>LUBRICANTES</v>
          </cell>
        </row>
        <row r="2738">
          <cell r="F2738" t="str">
            <v>LUBRICANTES</v>
          </cell>
        </row>
        <row r="2739">
          <cell r="F2739" t="str">
            <v>Lubricante Superlub 300 Ml</v>
          </cell>
        </row>
        <row r="2740">
          <cell r="F2740" t="str">
            <v>Grasa De Calcio</v>
          </cell>
        </row>
        <row r="2741">
          <cell r="F2741" t="str">
            <v>Grasa De Litio</v>
          </cell>
        </row>
        <row r="2742">
          <cell r="F2742" t="str">
            <v>Grasa Fluida Para Speed Master</v>
          </cell>
        </row>
        <row r="2743">
          <cell r="F2743" t="str">
            <v>Aceite Superlub</v>
          </cell>
        </row>
        <row r="2744">
          <cell r="F2744" t="str">
            <v>Aceite Mineral</v>
          </cell>
        </row>
        <row r="2745">
          <cell r="F2745" t="str">
            <v>Aceite Super Lub Aerosol</v>
          </cell>
        </row>
        <row r="2746">
          <cell r="F2746" t="str">
            <v xml:space="preserve">Antioxido Bostitch Para Maquina </v>
          </cell>
        </row>
        <row r="2747">
          <cell r="F2747" t="str">
            <v>Aceite Tamaño Pequeño</v>
          </cell>
        </row>
        <row r="2748">
          <cell r="F2748" t="str">
            <v>Aceite Oil Pack</v>
          </cell>
        </row>
        <row r="2749">
          <cell r="F2749" t="str">
            <v>Aceite 3 En 1</v>
          </cell>
        </row>
        <row r="2750">
          <cell r="F2750" t="str">
            <v>Aceite Mobil Xhp</v>
          </cell>
        </row>
        <row r="2751">
          <cell r="F2751" t="str">
            <v>Aceite De Motor Hp20W50</v>
          </cell>
        </row>
        <row r="2752">
          <cell r="F2752" t="str">
            <v>PRODUCTOS QUÍMICOS EX</v>
          </cell>
        </row>
        <row r="2754">
          <cell r="F2754" t="str">
            <v xml:space="preserve">PRODUCTOS MEDICOS Y </v>
          </cell>
        </row>
        <row r="2755">
          <cell r="F2755" t="str">
            <v>ARTÍCULOS MÉDICOS</v>
          </cell>
        </row>
        <row r="2756">
          <cell r="F2756" t="str">
            <v>PRODUCTOS QUIMICOS</v>
          </cell>
        </row>
        <row r="2757">
          <cell r="F2757" t="str">
            <v xml:space="preserve">Liquido Para Bateria -Agua </v>
          </cell>
        </row>
        <row r="2758">
          <cell r="F2758" t="str">
            <v xml:space="preserve">Alcohol Isopropilico Caneca X55 </v>
          </cell>
        </row>
        <row r="2759">
          <cell r="F2759" t="str">
            <v xml:space="preserve">Alcohol Isopropilico *** Repetido </v>
          </cell>
        </row>
        <row r="2760">
          <cell r="F2760" t="str">
            <v>Blankrola</v>
          </cell>
        </row>
        <row r="2761">
          <cell r="F2761" t="str">
            <v>Thinner</v>
          </cell>
        </row>
        <row r="2762">
          <cell r="F2762" t="str">
            <v>Offset In Roller Desensitizer Abdick</v>
          </cell>
        </row>
        <row r="2763">
          <cell r="F2763" t="str">
            <v>Removedor Gestetner</v>
          </cell>
        </row>
        <row r="2764">
          <cell r="F2764" t="str">
            <v>Removedor Ricofax</v>
          </cell>
        </row>
        <row r="2765">
          <cell r="F2765" t="str">
            <v xml:space="preserve">Revelador Kodalith Fotografias </v>
          </cell>
        </row>
        <row r="2766">
          <cell r="F2766" t="str">
            <v xml:space="preserve">Revelador Negativo Para Planchas </v>
          </cell>
        </row>
        <row r="2767">
          <cell r="F2767" t="str">
            <v>Revelador Negativo Ricofax (1Kl)</v>
          </cell>
        </row>
        <row r="2768">
          <cell r="F2768" t="str">
            <v xml:space="preserve">Revelador Negativo Superlith </v>
          </cell>
        </row>
        <row r="2769">
          <cell r="F2769" t="str">
            <v xml:space="preserve">Revelador Fotocomponedora </v>
          </cell>
        </row>
        <row r="2770">
          <cell r="F2770" t="str">
            <v xml:space="preserve">Revelador Negativo Planchas Kodak </v>
          </cell>
        </row>
        <row r="2771">
          <cell r="F2771" t="str">
            <v xml:space="preserve">Revelador Negativo Planchas Kodak </v>
          </cell>
        </row>
        <row r="2772">
          <cell r="F2772" t="str">
            <v xml:space="preserve">Revelador Negativo Planchas Ref. </v>
          </cell>
        </row>
        <row r="2773">
          <cell r="F2773" t="str">
            <v xml:space="preserve">Revelador Negativo Para Pelicula </v>
          </cell>
        </row>
        <row r="2774">
          <cell r="F2774" t="str">
            <v xml:space="preserve">Revelador Positivo Para Planchas </v>
          </cell>
        </row>
        <row r="2775">
          <cell r="F2775" t="str">
            <v xml:space="preserve">Revelador Pelicula Camara Ref. </v>
          </cell>
        </row>
        <row r="2776">
          <cell r="F2776" t="str">
            <v>Revelador Tack Wash Adhesive</v>
          </cell>
        </row>
        <row r="2777">
          <cell r="F2777" t="str">
            <v xml:space="preserve">Revelador Negativo Para Planchas </v>
          </cell>
        </row>
        <row r="2778">
          <cell r="F2778" t="str">
            <v xml:space="preserve">Revelador De Planchas Negativas </v>
          </cell>
        </row>
        <row r="2779">
          <cell r="F2779" t="str">
            <v xml:space="preserve">Revelador Para Planchas Negativas </v>
          </cell>
        </row>
        <row r="2780">
          <cell r="F2780" t="str">
            <v xml:space="preserve">Revelador Para Procesador Loge </v>
          </cell>
        </row>
        <row r="2781">
          <cell r="F2781" t="str">
            <v>Revelador Para Planchas Negativas</v>
          </cell>
        </row>
        <row r="2782">
          <cell r="F2782" t="str">
            <v>Ferricianuro De Potasio</v>
          </cell>
        </row>
        <row r="2783">
          <cell r="F2783" t="str">
            <v xml:space="preserve">Fijador Dupont Fotocomponedora </v>
          </cell>
        </row>
        <row r="2784">
          <cell r="F2784" t="str">
            <v>Fijador Kodak Ra-3000</v>
          </cell>
        </row>
        <row r="2785">
          <cell r="F2785" t="str">
            <v xml:space="preserve">Offset In Roller Conditioner </v>
          </cell>
        </row>
        <row r="2786">
          <cell r="F2786" t="str">
            <v>Fijador Para Procesador Loge Line</v>
          </cell>
        </row>
        <row r="2787">
          <cell r="F2787" t="str">
            <v>Fijador Artistico En Spray</v>
          </cell>
        </row>
        <row r="2788">
          <cell r="F2788" t="str">
            <v xml:space="preserve">Solucion Ricoh Para Plancha </v>
          </cell>
        </row>
        <row r="2789">
          <cell r="F2789" t="str">
            <v xml:space="preserve">Solucion Fuente Concentrada </v>
          </cell>
        </row>
        <row r="2790">
          <cell r="F2790" t="str">
            <v>Solucion Fuente Ref-40</v>
          </cell>
        </row>
        <row r="2791">
          <cell r="F2791" t="str">
            <v>Solucion Fuente Ref-Fs045</v>
          </cell>
        </row>
        <row r="2792">
          <cell r="F2792" t="str">
            <v>Solucion Fuente Ref-Kcp-8416.</v>
          </cell>
        </row>
        <row r="2793">
          <cell r="F2793" t="str">
            <v xml:space="preserve">Solucion Fuente Kodak Clean Print X </v>
          </cell>
        </row>
        <row r="2794">
          <cell r="F2794" t="str">
            <v>Solucion Fuente Ref-Qs-125.</v>
          </cell>
        </row>
        <row r="2795">
          <cell r="F2795" t="str">
            <v>Solucion Fuente Versi Varn</v>
          </cell>
        </row>
        <row r="2796">
          <cell r="F2796" t="str">
            <v>Varn Revitol</v>
          </cell>
        </row>
        <row r="2797">
          <cell r="F2797" t="str">
            <v>Glicerina (No Utilizar)</v>
          </cell>
        </row>
        <row r="2798">
          <cell r="F2798" t="str">
            <v>Glicerina</v>
          </cell>
        </row>
        <row r="2799">
          <cell r="F2799" t="str">
            <v>Brillametal</v>
          </cell>
        </row>
        <row r="2800">
          <cell r="F2800" t="str">
            <v>Glicerina</v>
          </cell>
        </row>
        <row r="2801">
          <cell r="F2801" t="str">
            <v>Glicerina</v>
          </cell>
        </row>
        <row r="2802">
          <cell r="F2802" t="str">
            <v>PETROLEO Y COMBUSTIBLES DERIVADOS EXENTO</v>
          </cell>
        </row>
        <row r="2804">
          <cell r="F2804" t="str">
            <v>PETROLEO,DERIVADOS Y AFINES</v>
          </cell>
        </row>
        <row r="2805">
          <cell r="F2805" t="str">
            <v xml:space="preserve">PETROLEO Y COMBUSTIBLES </v>
          </cell>
        </row>
        <row r="2806">
          <cell r="F2806" t="str">
            <v>Gasolina Parque Automotor</v>
          </cell>
        </row>
        <row r="2807">
          <cell r="F2807" t="str">
            <v>A.C.P.M</v>
          </cell>
        </row>
        <row r="2808">
          <cell r="F2808" t="str">
            <v>Petroleo Caneca X 55 Galones</v>
          </cell>
        </row>
        <row r="2809">
          <cell r="F2809" t="str">
            <v>UTILES Y ACCESORIOS ASEO</v>
          </cell>
        </row>
        <row r="2810">
          <cell r="F2810" t="str">
            <v>PRODUCTOS DETERGENTES</v>
          </cell>
        </row>
        <row r="2811">
          <cell r="F2811" t="str">
            <v>PRODUCTOS LIMPIADORES</v>
          </cell>
        </row>
        <row r="2812">
          <cell r="F2812" t="str">
            <v>PRODUCTOS HIGIENICOS</v>
          </cell>
        </row>
        <row r="2813">
          <cell r="F2813" t="str">
            <v xml:space="preserve">PRODUCTOS AMBIENTADORES, </v>
          </cell>
        </row>
        <row r="2814">
          <cell r="F2814" t="str">
            <v>VIVERES Y RANCHO</v>
          </cell>
        </row>
        <row r="2815">
          <cell r="F2815" t="str">
            <v xml:space="preserve">PRODUCTOS PARA </v>
          </cell>
        </row>
        <row r="2816">
          <cell r="F2816" t="str">
            <v xml:space="preserve">UTILES Y ACCESORIOS PARA </v>
          </cell>
        </row>
        <row r="2817">
          <cell r="F2817" t="str">
            <v>Filtros Para Caretas De Proteccion</v>
          </cell>
        </row>
        <row r="2818">
          <cell r="F2818" t="str">
            <v>Franela En Retal X Kilo</v>
          </cell>
        </row>
        <row r="2819">
          <cell r="F2819" t="str">
            <v>Aros Para Greca</v>
          </cell>
        </row>
        <row r="2820">
          <cell r="F2820" t="str">
            <v>Repuesto Para Thermos</v>
          </cell>
        </row>
        <row r="2821">
          <cell r="F2821" t="str">
            <v>Filtros Para Greca De Libra</v>
          </cell>
        </row>
        <row r="2822">
          <cell r="F2822" t="str">
            <v xml:space="preserve">Filtros Desechables Para Cafeteras </v>
          </cell>
        </row>
        <row r="2823">
          <cell r="F2823" t="str">
            <v xml:space="preserve">Filtros Desechables Para Cafeteras </v>
          </cell>
        </row>
        <row r="2824">
          <cell r="F2824" t="str">
            <v xml:space="preserve">Chupas Con Sus Resortes Para </v>
          </cell>
        </row>
        <row r="2825">
          <cell r="F2825" t="str">
            <v>Chupas Para Greca</v>
          </cell>
        </row>
        <row r="2826">
          <cell r="F2826" t="str">
            <v>Churrusco Para Tubo Nivel Greca</v>
          </cell>
        </row>
        <row r="2827">
          <cell r="F2827" t="str">
            <v>Bayetilla</v>
          </cell>
        </row>
        <row r="2828">
          <cell r="F2828" t="str">
            <v>Baldes Plasticos</v>
          </cell>
        </row>
        <row r="2829">
          <cell r="F2829" t="str">
            <v>Tapete Para Baño</v>
          </cell>
        </row>
        <row r="2830">
          <cell r="F2830" t="str">
            <v xml:space="preserve">Cepillo De Mano Para Lavar Llantas, </v>
          </cell>
        </row>
        <row r="2831">
          <cell r="F2831" t="str">
            <v xml:space="preserve">Escoba Para Lavar Autos (No </v>
          </cell>
        </row>
        <row r="2832">
          <cell r="F2832" t="str">
            <v xml:space="preserve">Cepillo Para Lavar Llantas Base En </v>
          </cell>
        </row>
        <row r="2833">
          <cell r="F2833" t="str">
            <v xml:space="preserve">Cepillo De Mano Base En Madera </v>
          </cell>
        </row>
        <row r="2834">
          <cell r="F2834" t="str">
            <v>Cepillo De Mano Base Plastica</v>
          </cell>
        </row>
        <row r="2835">
          <cell r="F2835" t="str">
            <v>Escobas Para Lavar Autos</v>
          </cell>
        </row>
        <row r="2836">
          <cell r="F2836" t="str">
            <v>Tapaoidos De Caucho</v>
          </cell>
        </row>
        <row r="2837">
          <cell r="F2837" t="str">
            <v>Tapoidos De Caucho</v>
          </cell>
        </row>
        <row r="2838">
          <cell r="F2838" t="str">
            <v>Careta Protectora De Ojoss</v>
          </cell>
        </row>
        <row r="2839">
          <cell r="F2839" t="str">
            <v>Canasta Plastica Con Manija</v>
          </cell>
        </row>
        <row r="2840">
          <cell r="F2840" t="str">
            <v>Protector Auditivo</v>
          </cell>
        </row>
        <row r="2841">
          <cell r="F2841" t="str">
            <v>Protector Respiratorio</v>
          </cell>
        </row>
        <row r="2842">
          <cell r="F2842" t="str">
            <v xml:space="preserve">Cartucho Para Respirador Vapores </v>
          </cell>
        </row>
        <row r="2843">
          <cell r="F2843" t="str">
            <v>Grata Acerada</v>
          </cell>
        </row>
        <row r="2844">
          <cell r="F2844" t="str">
            <v>Vasos De Cristal</v>
          </cell>
        </row>
        <row r="2845">
          <cell r="F2845" t="str">
            <v>Vasos Plasticos (No Utilizar)</v>
          </cell>
        </row>
        <row r="2846">
          <cell r="F2846" t="str">
            <v>Vasos 7 Onzas Plasticos</v>
          </cell>
        </row>
        <row r="2847">
          <cell r="F2847" t="str">
            <v xml:space="preserve">Vasos De Cristal 8 Onzas Grandes </v>
          </cell>
        </row>
        <row r="2848">
          <cell r="F2848" t="str">
            <v xml:space="preserve">Vasos Desechable Para Tinto Caja X </v>
          </cell>
        </row>
        <row r="2849">
          <cell r="F2849" t="str">
            <v>Thermo De 1 Litro</v>
          </cell>
        </row>
        <row r="2850">
          <cell r="F2850" t="str">
            <v xml:space="preserve">Mezcladores Para Cafe Redondos </v>
          </cell>
        </row>
        <row r="2851">
          <cell r="F2851" t="str">
            <v>Bases Para Vasos Desechables</v>
          </cell>
        </row>
        <row r="2852">
          <cell r="F2852" t="str">
            <v>Plato Tortero</v>
          </cell>
        </row>
        <row r="2853">
          <cell r="F2853" t="str">
            <v>Cuchara Metalica Para Tinto</v>
          </cell>
        </row>
        <row r="2854">
          <cell r="F2854" t="str">
            <v>Destapador Metalico</v>
          </cell>
        </row>
        <row r="2855">
          <cell r="F2855" t="str">
            <v>Tenedor Metalico Grande</v>
          </cell>
        </row>
        <row r="2856">
          <cell r="F2856" t="str">
            <v>Tenedor Metalico Pequeño</v>
          </cell>
        </row>
        <row r="2857">
          <cell r="F2857" t="str">
            <v>Copa Champañeras</v>
          </cell>
        </row>
        <row r="2858">
          <cell r="F2858" t="str">
            <v>Pocillos Tinteros</v>
          </cell>
        </row>
        <row r="2859">
          <cell r="F2859" t="str">
            <v>Pocillo Y Plato Para Tinto</v>
          </cell>
        </row>
        <row r="2860">
          <cell r="F2860" t="str">
            <v>Bandeja En Aluminio</v>
          </cell>
        </row>
        <row r="2861">
          <cell r="F2861" t="str">
            <v>Bandeja Metalica</v>
          </cell>
        </row>
        <row r="2862">
          <cell r="F2862" t="str">
            <v>Copa Para Vino Blanco</v>
          </cell>
        </row>
        <row r="2863">
          <cell r="F2863" t="str">
            <v>Copa Para Vino Tinto</v>
          </cell>
        </row>
        <row r="2864">
          <cell r="F2864" t="str">
            <v>Copa De Vino Para Agua</v>
          </cell>
        </row>
        <row r="2865">
          <cell r="F2865" t="str">
            <v>Pala En Aluminio</v>
          </cell>
        </row>
        <row r="2866">
          <cell r="F2866" t="str">
            <v>Pinza En Aluminio</v>
          </cell>
        </row>
        <row r="2867">
          <cell r="F2867" t="str">
            <v>Platos Hondos Ceramica Blanca</v>
          </cell>
        </row>
        <row r="2868">
          <cell r="F2868" t="str">
            <v>Platos Pandos Ceramica Blanca</v>
          </cell>
        </row>
        <row r="2869">
          <cell r="F2869" t="str">
            <v xml:space="preserve">Tazas Hondas En Porcelana Color </v>
          </cell>
        </row>
        <row r="2870">
          <cell r="F2870" t="str">
            <v>Tenedor En Acero Inoxidable</v>
          </cell>
        </row>
        <row r="2871">
          <cell r="F2871" t="str">
            <v>Vaso De Cristal</v>
          </cell>
        </row>
        <row r="2872">
          <cell r="F2872" t="str">
            <v>Vaso Roco En Vidrio</v>
          </cell>
        </row>
        <row r="2873">
          <cell r="F2873" t="str">
            <v>Colador 14 Cms Poliest.</v>
          </cell>
        </row>
        <row r="2874">
          <cell r="F2874" t="str">
            <v xml:space="preserve">Plato Y Pocillo Para Tinto (No </v>
          </cell>
        </row>
        <row r="2875">
          <cell r="F2875" t="str">
            <v>Vaso Cristal Liso Grande</v>
          </cell>
        </row>
        <row r="2876">
          <cell r="F2876" t="str">
            <v>Vaso Cristal Liso Mediano</v>
          </cell>
        </row>
        <row r="2877">
          <cell r="F2877" t="str">
            <v>Tarro Plastico Litro</v>
          </cell>
        </row>
        <row r="2878">
          <cell r="F2878" t="str">
            <v>Recipiente Plastico 4000 Cc</v>
          </cell>
        </row>
        <row r="2879">
          <cell r="F2879" t="str">
            <v>Garrafa En Plastico De 5 Galones</v>
          </cell>
        </row>
        <row r="2880">
          <cell r="F2880" t="str">
            <v xml:space="preserve">Envase Cilindrico Campana Pet </v>
          </cell>
        </row>
        <row r="2881">
          <cell r="F2881" t="str">
            <v>PRODUCTOS DETERGENTES</v>
          </cell>
        </row>
        <row r="2883">
          <cell r="F2883" t="str">
            <v xml:space="preserve">Detergente En Polvo Marca Top, </v>
          </cell>
        </row>
        <row r="2884">
          <cell r="F2884" t="str">
            <v xml:space="preserve">Detergente En Polvo Bolsa X250 </v>
          </cell>
        </row>
        <row r="2885">
          <cell r="F2885" t="str">
            <v>PRODUCTOS LIMPIADORES</v>
          </cell>
        </row>
        <row r="2887">
          <cell r="F2887" t="str">
            <v>Limpiador Planchas Negativas 3M</v>
          </cell>
        </row>
        <row r="2888">
          <cell r="F2888" t="str">
            <v>Polvo Antirrepinte R-23</v>
          </cell>
        </row>
        <row r="2889">
          <cell r="F2889" t="str">
            <v xml:space="preserve">Limpiador De Rodillos Y Mantillas </v>
          </cell>
        </row>
        <row r="2890">
          <cell r="F2890" t="str">
            <v xml:space="preserve">Limpiador Removedor Para </v>
          </cell>
        </row>
        <row r="2891">
          <cell r="F2891" t="str">
            <v xml:space="preserve">Limpiador De Rodillos Y Mantillas </v>
          </cell>
        </row>
        <row r="2892">
          <cell r="F2892" t="str">
            <v>Limpiador Policlean</v>
          </cell>
        </row>
        <row r="2893">
          <cell r="F2893" t="str">
            <v>PRODUCTOS HIGIENICOS</v>
          </cell>
        </row>
        <row r="2895">
          <cell r="F2895" t="str">
            <v xml:space="preserve">Tapabocas Triple Tela Azul Con </v>
          </cell>
        </row>
        <row r="2896">
          <cell r="F2896" t="str">
            <v>Toallas Para Manos (No Utilizar)</v>
          </cell>
        </row>
        <row r="2897">
          <cell r="F2897" t="str">
            <v xml:space="preserve">Tela De Toalla Color Blanco (No </v>
          </cell>
        </row>
        <row r="2898">
          <cell r="F2898" t="str">
            <v>Tela De Toalla Color Blanco</v>
          </cell>
        </row>
        <row r="2899">
          <cell r="F2899" t="str">
            <v>VIVERES Y RANCHO</v>
          </cell>
        </row>
        <row r="2901">
          <cell r="F2901" t="str">
            <v xml:space="preserve">Cera Vista Simoniz X 225 Gramos </v>
          </cell>
        </row>
        <row r="2902">
          <cell r="F2902" t="str">
            <v xml:space="preserve">Silicona Marca Tortuga X 10 0Nzas </v>
          </cell>
        </row>
        <row r="2903">
          <cell r="F2903" t="str">
            <v xml:space="preserve">Ambientador Ruleta Marca Simoniz </v>
          </cell>
        </row>
        <row r="2904">
          <cell r="F2904" t="str">
            <v xml:space="preserve">Rubi Blanco En Crema X 255 Cm3 </v>
          </cell>
        </row>
        <row r="2905">
          <cell r="F2905" t="str">
            <v>Ambientador Ruleta</v>
          </cell>
        </row>
        <row r="2906">
          <cell r="F2906" t="str">
            <v>Cera Vista X 225 Gramos</v>
          </cell>
        </row>
        <row r="2907">
          <cell r="F2907" t="str">
            <v>Rubi Blanco Crema X 255 Cm3</v>
          </cell>
        </row>
        <row r="2908">
          <cell r="F2908" t="str">
            <v>Silicona Rally</v>
          </cell>
        </row>
        <row r="2909">
          <cell r="F2909" t="str">
            <v>Cera Simonix</v>
          </cell>
        </row>
        <row r="2910">
          <cell r="F2910" t="str">
            <v>ARTÍCULOS MÉDICOS</v>
          </cell>
        </row>
        <row r="2912">
          <cell r="F2912" t="str">
            <v>Algodon</v>
          </cell>
        </row>
        <row r="2913">
          <cell r="F2913" t="str">
            <v>Isodine Espuma</v>
          </cell>
        </row>
        <row r="2914">
          <cell r="F2914" t="str">
            <v>Isodine Solucion</v>
          </cell>
        </row>
        <row r="2915">
          <cell r="F2915" t="str">
            <v>Buscapina Compuesta</v>
          </cell>
        </row>
        <row r="2916">
          <cell r="F2916" t="str">
            <v>Alivium F.</v>
          </cell>
        </row>
        <row r="2917">
          <cell r="F2917" t="str">
            <v>Ibuprofeno 400 Mg</v>
          </cell>
        </row>
        <row r="2918">
          <cell r="F2918" t="str">
            <v>Mebucaina Pastillas</v>
          </cell>
        </row>
        <row r="2919">
          <cell r="F2919" t="str">
            <v>Feldene Gel 40 Grs</v>
          </cell>
        </row>
        <row r="2920">
          <cell r="F2920" t="str">
            <v>Dolex Tabletas</v>
          </cell>
        </row>
        <row r="2921">
          <cell r="F2921" t="str">
            <v>Curas</v>
          </cell>
        </row>
        <row r="2922">
          <cell r="F2922" t="str">
            <v>Esparadrapo Micropore</v>
          </cell>
        </row>
        <row r="2923">
          <cell r="F2923" t="str">
            <v>Aspirina Efervescente</v>
          </cell>
        </row>
        <row r="2924">
          <cell r="F2924" t="str">
            <v>Guantes De Cirugia</v>
          </cell>
        </row>
        <row r="2925">
          <cell r="F2925" t="str">
            <v>Algod0N 25 Gramos</v>
          </cell>
        </row>
        <row r="2926">
          <cell r="F2926" t="str">
            <v>Alcohol Antiseptico</v>
          </cell>
        </row>
        <row r="2927">
          <cell r="F2927" t="str">
            <v>Alka Seltzer</v>
          </cell>
        </row>
        <row r="2928">
          <cell r="F2928" t="str">
            <v>Gasa</v>
          </cell>
        </row>
        <row r="2929">
          <cell r="F2929" t="str">
            <v>Advil</v>
          </cell>
        </row>
        <row r="2930">
          <cell r="F2930" t="str">
            <v>Gotas Lacrimales</v>
          </cell>
        </row>
        <row r="2931">
          <cell r="F2931" t="str">
            <v>Milanta Pastillas</v>
          </cell>
        </row>
        <row r="2932">
          <cell r="F2932" t="str">
            <v>Aspirina X100 Tabletas</v>
          </cell>
        </row>
        <row r="2933">
          <cell r="F2933" t="str">
            <v>Lomotil</v>
          </cell>
        </row>
        <row r="2934">
          <cell r="F2934" t="str">
            <v>Noxpirin Ultra</v>
          </cell>
        </row>
        <row r="2935">
          <cell r="F2935" t="str">
            <v>Sulfaplata X 30 Gramos</v>
          </cell>
        </row>
        <row r="2936">
          <cell r="F2936" t="str">
            <v>Termometro Oral</v>
          </cell>
        </row>
        <row r="2937">
          <cell r="F2937" t="str">
            <v>Vendas Supertex</v>
          </cell>
        </row>
        <row r="2938">
          <cell r="F2938" t="str">
            <v>Bajalenguas</v>
          </cell>
        </row>
        <row r="2939">
          <cell r="F2939" t="str">
            <v>Guantes Esteril</v>
          </cell>
        </row>
        <row r="2940">
          <cell r="F2940" t="str">
            <v>Aplicadores De Algodon</v>
          </cell>
        </row>
        <row r="2941">
          <cell r="F2941" t="str">
            <v xml:space="preserve">Vendas Elasticas De 4 Pulgadas De </v>
          </cell>
        </row>
        <row r="2942">
          <cell r="F2942" t="str">
            <v>Copitos En Madera</v>
          </cell>
        </row>
        <row r="2943">
          <cell r="F2943" t="str">
            <v>Decadron Gotas Oftalmicas</v>
          </cell>
        </row>
        <row r="2944">
          <cell r="F2944" t="str">
            <v>Esparadrapo Mediano</v>
          </cell>
        </row>
        <row r="2945">
          <cell r="F2945" t="str">
            <v>Isodine Espuma</v>
          </cell>
        </row>
        <row r="2946">
          <cell r="F2946" t="str">
            <v>Alcohol Mediano</v>
          </cell>
        </row>
        <row r="2947">
          <cell r="F2947" t="str">
            <v>Alcohol Pequeño</v>
          </cell>
        </row>
        <row r="2948">
          <cell r="F2948" t="str">
            <v>Apositos Para Ojos</v>
          </cell>
        </row>
        <row r="2949">
          <cell r="F2949" t="str">
            <v>Suero Fisiologico</v>
          </cell>
        </row>
        <row r="2950">
          <cell r="F2950" t="str">
            <v>Copitos</v>
          </cell>
        </row>
        <row r="2951">
          <cell r="F2951" t="str">
            <v>Ditopax X50 Tabletas</v>
          </cell>
        </row>
        <row r="2952">
          <cell r="F2952" t="str">
            <v>Acetaminofen</v>
          </cell>
        </row>
        <row r="2953">
          <cell r="F2953" t="str">
            <v>Piroxican</v>
          </cell>
        </row>
        <row r="2954">
          <cell r="F2954" t="str">
            <v>Algodon Cirufax X Libra</v>
          </cell>
        </row>
        <row r="2955">
          <cell r="F2955" t="str">
            <v>PRENDAS DE VESTIR</v>
          </cell>
        </row>
        <row r="2957">
          <cell r="F2957" t="str">
            <v>Falda Para Dama</v>
          </cell>
        </row>
        <row r="2958">
          <cell r="F2958" t="str">
            <v xml:space="preserve">Falda En Chalis Para Dama (No </v>
          </cell>
        </row>
        <row r="2959">
          <cell r="F2959" t="str">
            <v>Faldas Azules Con Rayas Blancas</v>
          </cell>
        </row>
        <row r="2960">
          <cell r="F2960" t="str">
            <v xml:space="preserve">Falda Azul Con Rayas Blanca (Talla </v>
          </cell>
        </row>
        <row r="2961">
          <cell r="F2961" t="str">
            <v>Camisa Para Hombre</v>
          </cell>
        </row>
        <row r="2962">
          <cell r="F2962" t="str">
            <v>Camisa Para Hombre (No Utilizar)</v>
          </cell>
        </row>
        <row r="2963">
          <cell r="F2963" t="str">
            <v xml:space="preserve">Camiseta Cuello Redondo En </v>
          </cell>
        </row>
        <row r="2964">
          <cell r="F2964" t="str">
            <v xml:space="preserve">Camiseta Cuello Redondo En </v>
          </cell>
        </row>
        <row r="2965">
          <cell r="F2965" t="str">
            <v xml:space="preserve">Camiseta Blanca Tipo Polo Con </v>
          </cell>
        </row>
        <row r="2966">
          <cell r="F2966" t="str">
            <v xml:space="preserve">Camisetas Cuello Redondo En </v>
          </cell>
        </row>
        <row r="2967">
          <cell r="F2967" t="str">
            <v xml:space="preserve">Blusas Para Dama (Trabajo) (No </v>
          </cell>
        </row>
        <row r="2968">
          <cell r="F2968" t="str">
            <v xml:space="preserve">Blusas En Chalis Para Dama (No </v>
          </cell>
        </row>
        <row r="2969">
          <cell r="F2969" t="str">
            <v>Blusas Para Dama En Seda</v>
          </cell>
        </row>
        <row r="2970">
          <cell r="F2970" t="str">
            <v xml:space="preserve">Blusas En Dacron Para Dama (No </v>
          </cell>
        </row>
        <row r="2971">
          <cell r="F2971" t="str">
            <v>Vestido Sastre Para Dama</v>
          </cell>
        </row>
        <row r="2972">
          <cell r="F2972" t="str">
            <v>Vestido En Paño Para Hombre</v>
          </cell>
        </row>
        <row r="2973">
          <cell r="F2973" t="str">
            <v xml:space="preserve">Vestido Sastre Para Dama En Tres </v>
          </cell>
        </row>
        <row r="2974">
          <cell r="F2974" t="str">
            <v>Pantalon Para Dama</v>
          </cell>
        </row>
        <row r="2975">
          <cell r="F2975" t="str">
            <v>Pantalon Para Hombre</v>
          </cell>
        </row>
        <row r="2976">
          <cell r="F2976" t="str">
            <v>Buso Diferentes Colores</v>
          </cell>
        </row>
        <row r="2977">
          <cell r="F2977" t="str">
            <v>Gabardina</v>
          </cell>
        </row>
        <row r="2978">
          <cell r="F2978" t="str">
            <v>ACCESORIOS PARA VESTUARIO</v>
          </cell>
        </row>
        <row r="2980">
          <cell r="F2980" t="str">
            <v>Cinturon Protector De Columna</v>
          </cell>
        </row>
        <row r="2981">
          <cell r="F2981" t="str">
            <v>Corbatas Para Caballero</v>
          </cell>
        </row>
        <row r="2982">
          <cell r="F2982" t="str">
            <v xml:space="preserve">Morral Negro (Documentos </v>
          </cell>
        </row>
        <row r="2983">
          <cell r="F2983" t="str">
            <v>PRENDAS DE TRABAJO Y PROTECCIÓN</v>
          </cell>
        </row>
        <row r="2985">
          <cell r="F2985" t="str">
            <v xml:space="preserve">Bata Tipo Electricista Con </v>
          </cell>
        </row>
        <row r="2986">
          <cell r="F2986" t="str">
            <v>Bata Tres Cuartos Oscura</v>
          </cell>
        </row>
        <row r="2987">
          <cell r="F2987" t="str">
            <v>Delantal Grande</v>
          </cell>
        </row>
        <row r="2988">
          <cell r="F2988" t="str">
            <v>Overol De Trabajo Enterizo</v>
          </cell>
        </row>
        <row r="2989">
          <cell r="F2989" t="str">
            <v>Petos En Tela</v>
          </cell>
        </row>
        <row r="2990">
          <cell r="F2990" t="str">
            <v>Gafas Protectoras Para La Vista</v>
          </cell>
        </row>
        <row r="2991">
          <cell r="F2991" t="str">
            <v>Guante Algodon E Hilaza Pvc</v>
          </cell>
        </row>
        <row r="2992">
          <cell r="F2992" t="str">
            <v>Guantes Blancos</v>
          </cell>
        </row>
        <row r="2993">
          <cell r="F2993" t="str">
            <v>Guantes Industriales Electricista</v>
          </cell>
        </row>
        <row r="2994">
          <cell r="F2994" t="str">
            <v>Muñecas Para Uso Del Mouse</v>
          </cell>
        </row>
        <row r="2995">
          <cell r="F2995" t="str">
            <v>CALZADO</v>
          </cell>
        </row>
        <row r="2997">
          <cell r="F2997" t="str">
            <v>Zapatos Para Hombre</v>
          </cell>
        </row>
        <row r="2998">
          <cell r="F2998" t="str">
            <v>Zapatos Para Dama</v>
          </cell>
        </row>
        <row r="2999">
          <cell r="F2999" t="str">
            <v>Botas Campesinas (No Utilizar)</v>
          </cell>
        </row>
        <row r="3000">
          <cell r="F3000" t="str">
            <v>Bota En Cuero Media Caña</v>
          </cell>
        </row>
        <row r="3001">
          <cell r="F3001" t="str">
            <v>Bota Dielectrica</v>
          </cell>
        </row>
        <row r="3002">
          <cell r="F3002" t="str">
            <v>Botas De Seguridad</v>
          </cell>
        </row>
        <row r="3003">
          <cell r="F3003" t="str">
            <v>ARTICULO INSTITUCIONAL Y PROMOCIONAL</v>
          </cell>
        </row>
        <row r="3005">
          <cell r="F3005" t="str">
            <v xml:space="preserve">Medalla En Crisol Oro, Plata Y </v>
          </cell>
        </row>
        <row r="3006">
          <cell r="F3006" t="str">
            <v xml:space="preserve">Cinta Acrilica, Con Rosquetas Para </v>
          </cell>
        </row>
        <row r="3007">
          <cell r="F3007" t="str">
            <v>Angeles En Pasta</v>
          </cell>
        </row>
        <row r="3008">
          <cell r="F3008" t="str">
            <v>INCENTIVOS, BONOS Y TARJETAS</v>
          </cell>
        </row>
        <row r="3010">
          <cell r="F3010" t="str">
            <v>Aromaticas</v>
          </cell>
        </row>
        <row r="3011">
          <cell r="F3011" t="str">
            <v>Azucar Dietetico</v>
          </cell>
        </row>
        <row r="3012">
          <cell r="F3012" t="str">
            <v>Azucar (Bolsa Por 200 Sobres)</v>
          </cell>
        </row>
        <row r="3013">
          <cell r="F3013" t="str">
            <v>Cafe</v>
          </cell>
        </row>
        <row r="3014">
          <cell r="F3014" t="str">
            <v>Te</v>
          </cell>
        </row>
        <row r="3015">
          <cell r="F3015" t="str">
            <v>DECORACIONES Y ARTICULOS PARA FESTIVIDAD</v>
          </cell>
        </row>
        <row r="3017">
          <cell r="F3017" t="str">
            <v>Pie De Arbol</v>
          </cell>
        </row>
        <row r="3018">
          <cell r="F3018" t="str">
            <v>Cadena De Arbol</v>
          </cell>
        </row>
        <row r="3019">
          <cell r="F3019" t="str">
            <v>Instalacion Colores</v>
          </cell>
        </row>
        <row r="3020">
          <cell r="F3020" t="str">
            <v>Moño En Costal Dorados</v>
          </cell>
        </row>
        <row r="3021">
          <cell r="F3021" t="str">
            <v>EDIFICACIONES -LOCALES</v>
          </cell>
        </row>
        <row r="3023">
          <cell r="F3023" t="str">
            <v>LOCALES</v>
          </cell>
        </row>
        <row r="3024">
          <cell r="F3024" t="str">
            <v>Local</v>
          </cell>
        </row>
        <row r="3025">
          <cell r="F3025" t="str">
            <v>EDIFICACIONES OFICINAS</v>
          </cell>
        </row>
        <row r="3027">
          <cell r="F3027" t="str">
            <v>OFICINAS</v>
          </cell>
        </row>
        <row r="3028">
          <cell r="F3028" t="str">
            <v>Oficina</v>
          </cell>
        </row>
        <row r="3029">
          <cell r="F3029" t="str">
            <v>EDIFICIOS Y CASAS   -EDIFICACIONES</v>
          </cell>
        </row>
        <row r="3031">
          <cell r="F3031" t="str">
            <v>EDIFICIOS Y CASAS</v>
          </cell>
        </row>
        <row r="3032">
          <cell r="F3032" t="str">
            <v>Edificio</v>
          </cell>
        </row>
        <row r="3033">
          <cell r="F3033" t="str">
            <v>EQUIPO DE COMPUTACION</v>
          </cell>
        </row>
        <row r="3035">
          <cell r="F3035" t="str">
            <v xml:space="preserve">SERVIDORES O EQUIPOS DE </v>
          </cell>
        </row>
        <row r="3036">
          <cell r="F3036" t="str">
            <v>Servidor</v>
          </cell>
        </row>
        <row r="3037">
          <cell r="F3037" t="str">
            <v xml:space="preserve">DESKTOPS O EQUIPOS DE </v>
          </cell>
        </row>
        <row r="3038">
          <cell r="F3038" t="str">
            <v>Monitor</v>
          </cell>
        </row>
        <row r="3039">
          <cell r="F3039" t="str">
            <v>Computador</v>
          </cell>
        </row>
        <row r="3040">
          <cell r="F3040" t="str">
            <v>Cpu</v>
          </cell>
        </row>
        <row r="3041">
          <cell r="F3041" t="str">
            <v xml:space="preserve">NOTEBOOKS O EQUIPOS </v>
          </cell>
        </row>
        <row r="3042">
          <cell r="F3042" t="str">
            <v>Computador Portatil</v>
          </cell>
        </row>
        <row r="3043">
          <cell r="F3043" t="str">
            <v xml:space="preserve">NETBOOKS O EQUIPOS </v>
          </cell>
        </row>
        <row r="3044">
          <cell r="F3044" t="str">
            <v xml:space="preserve">EQUIPOS DE IMPRESIÓN Y </v>
          </cell>
        </row>
        <row r="3045">
          <cell r="F3045" t="str">
            <v>Impresora</v>
          </cell>
        </row>
        <row r="3046">
          <cell r="F3046" t="str">
            <v>Scanner</v>
          </cell>
        </row>
        <row r="3047">
          <cell r="F3047" t="str">
            <v xml:space="preserve">OTROS DISPOSITIVOS </v>
          </cell>
        </row>
        <row r="3048">
          <cell r="F3048" t="str">
            <v>Tablero Interactivo</v>
          </cell>
        </row>
        <row r="3049">
          <cell r="F3049" t="str">
            <v>Ups</v>
          </cell>
        </row>
        <row r="3050">
          <cell r="F3050" t="str">
            <v>Enrutador</v>
          </cell>
        </row>
        <row r="3051">
          <cell r="F3051" t="str">
            <v>Hub 3Com</v>
          </cell>
        </row>
        <row r="3052">
          <cell r="F3052" t="str">
            <v>Moddem</v>
          </cell>
        </row>
        <row r="3053">
          <cell r="F3053" t="str">
            <v>Super Stack</v>
          </cell>
        </row>
        <row r="3054">
          <cell r="F3054" t="str">
            <v>Estabilizador Supresor De Picos</v>
          </cell>
        </row>
        <row r="3055">
          <cell r="F3055" t="str">
            <v>Switch</v>
          </cell>
        </row>
        <row r="3056">
          <cell r="F3056" t="str">
            <v>Gateway</v>
          </cell>
        </row>
        <row r="3057">
          <cell r="F3057" t="str">
            <v>EQUIPO DE RECREACION Y DEPORTE</v>
          </cell>
        </row>
        <row r="3059">
          <cell r="F3059" t="str">
            <v>DOTACIONES</v>
          </cell>
        </row>
        <row r="3060">
          <cell r="F3060" t="str">
            <v>PRENDAS DE VESTIR Y CALZADO</v>
          </cell>
        </row>
        <row r="3061">
          <cell r="F3061" t="str">
            <v>ACCESORIOS PARA VESTUARIO</v>
          </cell>
        </row>
        <row r="3062">
          <cell r="F3062" t="str">
            <v xml:space="preserve">PRENDAS DE TRABAJO Y </v>
          </cell>
        </row>
        <row r="3063">
          <cell r="F3063" t="str">
            <v>CALZADO</v>
          </cell>
        </row>
        <row r="3064">
          <cell r="F3064" t="str">
            <v xml:space="preserve">PRODUCTOS PARA PROGRAMAS </v>
          </cell>
        </row>
        <row r="3065">
          <cell r="F3065" t="str">
            <v xml:space="preserve">REGALOS INSTITUCIONALES Y </v>
          </cell>
        </row>
        <row r="3066">
          <cell r="F3066" t="str">
            <v xml:space="preserve">INCENTIVOS, BONOS Y </v>
          </cell>
        </row>
        <row r="3067">
          <cell r="F3067" t="str">
            <v xml:space="preserve">DECORACIONES Y ARTICULOS </v>
          </cell>
        </row>
        <row r="3068">
          <cell r="F3068" t="str">
            <v>EQUIPO DE TRANSPORTE TRACCION ELEVACION</v>
          </cell>
        </row>
        <row r="3070">
          <cell r="F3070" t="str">
            <v>AUTOMOVILES</v>
          </cell>
        </row>
        <row r="3071">
          <cell r="F3071" t="str">
            <v>Camioneta</v>
          </cell>
        </row>
        <row r="3072">
          <cell r="F3072" t="str">
            <v>Vehiculo Tipo Sedan</v>
          </cell>
        </row>
        <row r="3073">
          <cell r="F3073" t="str">
            <v>ASCENSORES</v>
          </cell>
        </row>
        <row r="3074">
          <cell r="F3074" t="str">
            <v>EQUIPOS PARA AUTOMOVILES</v>
          </cell>
        </row>
        <row r="3075">
          <cell r="F3075" t="str">
            <v>Gato Hidraulico</v>
          </cell>
        </row>
        <row r="3076">
          <cell r="F3076" t="str">
            <v xml:space="preserve">OTROS EQUIPOS DE TRACCION </v>
          </cell>
        </row>
        <row r="3077">
          <cell r="F3077" t="str">
            <v>Garaventa</v>
          </cell>
        </row>
        <row r="3078">
          <cell r="F3078" t="str">
            <v>EQUIPO MEDICO Y CIENTIFICO MEDICO</v>
          </cell>
        </row>
        <row r="3080">
          <cell r="F3080" t="str">
            <v>INSTRUMENTAL MÉDICO</v>
          </cell>
        </row>
        <row r="3081">
          <cell r="F3081" t="str">
            <v>Tensiometro</v>
          </cell>
        </row>
        <row r="3082">
          <cell r="F3082" t="str">
            <v>Botiquin</v>
          </cell>
        </row>
        <row r="3083">
          <cell r="F3083" t="str">
            <v>Camilla</v>
          </cell>
        </row>
        <row r="3084">
          <cell r="F3084" t="str">
            <v>Compresor</v>
          </cell>
        </row>
        <row r="3085">
          <cell r="F3085" t="str">
            <v>Equipo De Rayos X</v>
          </cell>
        </row>
        <row r="3086">
          <cell r="F3086" t="str">
            <v>INSTRUMENTAL ODONTOLOGICO</v>
          </cell>
        </row>
        <row r="3087">
          <cell r="F3087" t="str">
            <v>Portamesa Instrumental</v>
          </cell>
        </row>
        <row r="3088">
          <cell r="F3088" t="str">
            <v>Unidad Odontologica</v>
          </cell>
        </row>
        <row r="3089">
          <cell r="F3089" t="str">
            <v>Vair</v>
          </cell>
        </row>
        <row r="3090">
          <cell r="F3090" t="str">
            <v>Horno Esterilizador</v>
          </cell>
        </row>
        <row r="3091">
          <cell r="F3091" t="str">
            <v>Lampara Rayo X</v>
          </cell>
        </row>
        <row r="3092">
          <cell r="F3092" t="str">
            <v>MOBILIARIO MEDICO</v>
          </cell>
        </row>
        <row r="3093">
          <cell r="F3093" t="str">
            <v>EQUIPO Y MAQUINARIA DE OFICINA</v>
          </cell>
        </row>
        <row r="3095">
          <cell r="F3095" t="str">
            <v xml:space="preserve">MAQUINARIA DE LECTORA </v>
          </cell>
        </row>
        <row r="3096">
          <cell r="F3096" t="str">
            <v>Lectora Optica</v>
          </cell>
        </row>
        <row r="3097">
          <cell r="F3097" t="str">
            <v>Aire Acondicionado</v>
          </cell>
        </row>
        <row r="3098">
          <cell r="F3098" t="str">
            <v>Bomba De Agua</v>
          </cell>
        </row>
        <row r="3099">
          <cell r="F3099" t="str">
            <v>Extractor De Humedad</v>
          </cell>
        </row>
        <row r="3100">
          <cell r="F3100" t="str">
            <v>Maquina Para Marmolina</v>
          </cell>
        </row>
        <row r="3101">
          <cell r="F3101" t="str">
            <v>Dispositivo De Control De Acceso</v>
          </cell>
        </row>
        <row r="3102">
          <cell r="F3102" t="str">
            <v>Andamio</v>
          </cell>
        </row>
        <row r="3103">
          <cell r="F3103" t="str">
            <v>Reflector</v>
          </cell>
        </row>
        <row r="3104">
          <cell r="F3104" t="str">
            <v xml:space="preserve">MAQUINARIA Y EQUIPO DE ASEO </v>
          </cell>
        </row>
        <row r="3105">
          <cell r="F3105" t="str">
            <v>Compresor</v>
          </cell>
        </row>
        <row r="3106">
          <cell r="F3106" t="str">
            <v>Cortadora De Disco</v>
          </cell>
        </row>
        <row r="3107">
          <cell r="F3107" t="str">
            <v>Escalera</v>
          </cell>
        </row>
        <row r="3108">
          <cell r="F3108" t="str">
            <v>Esmeril</v>
          </cell>
        </row>
        <row r="3109">
          <cell r="F3109" t="str">
            <v>Espejo Convexo</v>
          </cell>
        </row>
        <row r="3110">
          <cell r="F3110" t="str">
            <v>Panel De Control</v>
          </cell>
        </row>
        <row r="3111">
          <cell r="F3111" t="str">
            <v>Pinza Amperimetrica</v>
          </cell>
        </row>
        <row r="3112">
          <cell r="F3112" t="str">
            <v>Pistola De Impacto</v>
          </cell>
        </row>
        <row r="3113">
          <cell r="F3113" t="str">
            <v>Prensa De Banco</v>
          </cell>
        </row>
        <row r="3114">
          <cell r="F3114" t="str">
            <v>Pulidora De Disco</v>
          </cell>
        </row>
        <row r="3115">
          <cell r="F3115" t="str">
            <v>Taladro</v>
          </cell>
        </row>
        <row r="3116">
          <cell r="F3116" t="str">
            <v xml:space="preserve">MAQUINARIA Y EQUIPO DE </v>
          </cell>
        </row>
        <row r="3117">
          <cell r="F3117" t="str">
            <v>Bascula Electronica</v>
          </cell>
        </row>
        <row r="3118">
          <cell r="F3118" t="str">
            <v>Balanza</v>
          </cell>
        </row>
        <row r="3119">
          <cell r="F3119" t="str">
            <v>Zorra Metalica</v>
          </cell>
        </row>
        <row r="3120">
          <cell r="F3120" t="str">
            <v>Dataloger</v>
          </cell>
        </row>
        <row r="3121">
          <cell r="F3121" t="str">
            <v xml:space="preserve">EQUIPO Y MAQUINARIA DE </v>
          </cell>
        </row>
        <row r="3122">
          <cell r="F3122" t="str">
            <v>ACTIVOS FIJOS</v>
          </cell>
        </row>
        <row r="3123">
          <cell r="F3123" t="str">
            <v xml:space="preserve">BIENES ENTREGADOS A </v>
          </cell>
        </row>
        <row r="3124">
          <cell r="F3124" t="str">
            <v>EDIFICACIONES</v>
          </cell>
        </row>
        <row r="3125">
          <cell r="F3125" t="str">
            <v xml:space="preserve">EQUIPOS DE COMUNICACIÓN Y </v>
          </cell>
        </row>
        <row r="3126">
          <cell r="F3126" t="str">
            <v xml:space="preserve">EQUIPOS DE TRANSPORTE, </v>
          </cell>
        </row>
        <row r="3127">
          <cell r="F3127" t="str">
            <v>EQUIPO MÉDICO Y CIENTÍFICO</v>
          </cell>
        </row>
        <row r="3128">
          <cell r="F3128" t="str">
            <v>MAQUINARIA Y EQUIPO</v>
          </cell>
        </row>
        <row r="3129">
          <cell r="F3129" t="str">
            <v xml:space="preserve">MUEBLES, ENSERES Y EQUIPO </v>
          </cell>
        </row>
        <row r="3130">
          <cell r="F3130" t="str">
            <v>EQUIPOS DE COMUNICACION</v>
          </cell>
        </row>
        <row r="3132">
          <cell r="F3132" t="str">
            <v xml:space="preserve">EQUIPOS DE </v>
          </cell>
        </row>
        <row r="3133">
          <cell r="F3133" t="str">
            <v>Bloqueadores Telefonicos</v>
          </cell>
        </row>
        <row r="3134">
          <cell r="F3134" t="str">
            <v>Celular</v>
          </cell>
        </row>
        <row r="3135">
          <cell r="F3135" t="str">
            <v>Conmutador</v>
          </cell>
        </row>
        <row r="3136">
          <cell r="F3136" t="str">
            <v>Diadema</v>
          </cell>
        </row>
        <row r="3137">
          <cell r="F3137" t="str">
            <v>Fax</v>
          </cell>
        </row>
        <row r="3138">
          <cell r="F3138" t="str">
            <v>Telefono Inalambrico</v>
          </cell>
        </row>
        <row r="3139">
          <cell r="F3139" t="str">
            <v>Telefono Ip</v>
          </cell>
        </row>
        <row r="3140">
          <cell r="F3140" t="str">
            <v>Telefono De Utp</v>
          </cell>
        </row>
        <row r="3141">
          <cell r="F3141" t="str">
            <v xml:space="preserve">EQUIPOS DE COMUNICACIÓN </v>
          </cell>
        </row>
        <row r="3142">
          <cell r="F3142" t="str">
            <v>Citifono</v>
          </cell>
        </row>
        <row r="3143">
          <cell r="F3143" t="str">
            <v>Intercomunicador</v>
          </cell>
        </row>
        <row r="3144">
          <cell r="F3144" t="str">
            <v>EQUIPOS DE CONSTRUCCION</v>
          </cell>
        </row>
        <row r="3146">
          <cell r="F3146" t="str">
            <v xml:space="preserve">EQUIPO DE CONSTRUCCION Y </v>
          </cell>
        </row>
        <row r="3147">
          <cell r="F3147" t="str">
            <v>EQUIPOS DE RESTAURANTE Y CAFETERIA</v>
          </cell>
        </row>
        <row r="3149">
          <cell r="F3149" t="str">
            <v xml:space="preserve">EQUIPOS DE RESTAURANTE Y </v>
          </cell>
        </row>
        <row r="3150">
          <cell r="F3150" t="str">
            <v>EQUIPOS ELECTRICOS</v>
          </cell>
        </row>
        <row r="3151">
          <cell r="F3151" t="str">
            <v>Brilladora Electrica</v>
          </cell>
        </row>
        <row r="3152">
          <cell r="F3152" t="str">
            <v>Cafetera Electrica</v>
          </cell>
        </row>
        <row r="3153">
          <cell r="F3153" t="str">
            <v>Calefactor Electrico</v>
          </cell>
        </row>
        <row r="3154">
          <cell r="F3154" t="str">
            <v>Cocineta Electrica</v>
          </cell>
        </row>
        <row r="3155">
          <cell r="F3155" t="str">
            <v>Deshidratador</v>
          </cell>
        </row>
        <row r="3156">
          <cell r="F3156" t="str">
            <v>Refrigerador</v>
          </cell>
        </row>
        <row r="3157">
          <cell r="F3157" t="str">
            <v>Envasadora Volumetrica</v>
          </cell>
        </row>
        <row r="3158">
          <cell r="F3158" t="str">
            <v>Estufa Electrica</v>
          </cell>
        </row>
        <row r="3159">
          <cell r="F3159" t="str">
            <v>Estufa De Gasolina</v>
          </cell>
        </row>
        <row r="3160">
          <cell r="F3160" t="str">
            <v>Freidora</v>
          </cell>
        </row>
        <row r="3161">
          <cell r="F3161" t="str">
            <v>Greca</v>
          </cell>
        </row>
        <row r="3162">
          <cell r="F3162" t="str">
            <v>Hielera</v>
          </cell>
        </row>
        <row r="3163">
          <cell r="F3163" t="str">
            <v>Horno Electrico</v>
          </cell>
        </row>
        <row r="3164">
          <cell r="F3164" t="str">
            <v>Horno Microhondas</v>
          </cell>
        </row>
        <row r="3165">
          <cell r="F3165" t="str">
            <v>Horno Para Panaderia</v>
          </cell>
        </row>
        <row r="3166">
          <cell r="F3166" t="str">
            <v>Lavaplatos Electrico</v>
          </cell>
        </row>
        <row r="3167">
          <cell r="F3167" t="str">
            <v>Licuadora</v>
          </cell>
        </row>
        <row r="3168">
          <cell r="F3168" t="str">
            <v>Plancha Asadora</v>
          </cell>
        </row>
        <row r="3169">
          <cell r="F3169" t="str">
            <v>Sanduchera Electrica</v>
          </cell>
        </row>
        <row r="3170">
          <cell r="F3170" t="str">
            <v>Aspiradora</v>
          </cell>
        </row>
        <row r="3171">
          <cell r="F3171" t="str">
            <v>Hidrolavadora</v>
          </cell>
        </row>
        <row r="3172">
          <cell r="F3172" t="str">
            <v>MOBILIARIO DE RESTAURANTE</v>
          </cell>
        </row>
        <row r="3173">
          <cell r="F3173" t="str">
            <v>Alacena</v>
          </cell>
        </row>
        <row r="3174">
          <cell r="F3174" t="str">
            <v>Armario</v>
          </cell>
        </row>
        <row r="3175">
          <cell r="F3175" t="str">
            <v>Baranda</v>
          </cell>
        </row>
        <row r="3176">
          <cell r="F3176" t="str">
            <v>Campana Extractora</v>
          </cell>
        </row>
        <row r="3177">
          <cell r="F3177" t="str">
            <v>Candelabro De Mesa</v>
          </cell>
        </row>
        <row r="3178">
          <cell r="F3178" t="str">
            <v>Carro Auxiliar De Cafeteria</v>
          </cell>
        </row>
        <row r="3179">
          <cell r="F3179" t="str">
            <v xml:space="preserve">UTENSILIOS Y ACCESORIOS DE </v>
          </cell>
        </row>
        <row r="3180">
          <cell r="F3180" t="str">
            <v>MUEBLES Y ENSERES</v>
          </cell>
        </row>
        <row r="3182">
          <cell r="F3182" t="str">
            <v>MUEBLES Y ENSERES</v>
          </cell>
        </row>
        <row r="3183">
          <cell r="F3183" t="str">
            <v>Mesa De Ping Pong</v>
          </cell>
        </row>
        <row r="3184">
          <cell r="F3184" t="str">
            <v>Rana</v>
          </cell>
        </row>
        <row r="3185">
          <cell r="F3185" t="str">
            <v>Caja Fuerte</v>
          </cell>
        </row>
        <row r="3186">
          <cell r="F3186" t="str">
            <v>Archivador</v>
          </cell>
        </row>
        <row r="3187">
          <cell r="F3187" t="str">
            <v>Armario</v>
          </cell>
        </row>
        <row r="3188">
          <cell r="F3188" t="str">
            <v>Asta</v>
          </cell>
        </row>
        <row r="3189">
          <cell r="F3189" t="str">
            <v>Atril</v>
          </cell>
        </row>
        <row r="3190">
          <cell r="F3190" t="str">
            <v>Banca</v>
          </cell>
        </row>
        <row r="3191">
          <cell r="F3191" t="str">
            <v>Base Para Mesa</v>
          </cell>
        </row>
        <row r="3192">
          <cell r="F3192" t="str">
            <v>Biblioteca</v>
          </cell>
        </row>
        <row r="3193">
          <cell r="F3193" t="str">
            <v>Butaco</v>
          </cell>
        </row>
        <row r="3194">
          <cell r="F3194" t="str">
            <v>Carro Auxiliar De Cafeteria</v>
          </cell>
        </row>
        <row r="3195">
          <cell r="F3195" t="str">
            <v>Cartelera</v>
          </cell>
        </row>
        <row r="3196">
          <cell r="F3196" t="str">
            <v>Casillero</v>
          </cell>
        </row>
        <row r="3197">
          <cell r="F3197" t="str">
            <v>Escritorio</v>
          </cell>
        </row>
        <row r="3198">
          <cell r="F3198" t="str">
            <v>Estante</v>
          </cell>
        </row>
        <row r="3199">
          <cell r="F3199" t="str">
            <v>Extintor</v>
          </cell>
        </row>
        <row r="3200">
          <cell r="F3200" t="str">
            <v>Gabinete</v>
          </cell>
        </row>
        <row r="3201">
          <cell r="F3201" t="str">
            <v>Gavetero</v>
          </cell>
        </row>
        <row r="3202">
          <cell r="F3202" t="str">
            <v>Locker</v>
          </cell>
        </row>
        <row r="3203">
          <cell r="F3203" t="str">
            <v>Mesa Auxiliar</v>
          </cell>
        </row>
        <row r="3204">
          <cell r="F3204" t="str">
            <v>Mesa Cuadrada</v>
          </cell>
        </row>
        <row r="3205">
          <cell r="F3205" t="str">
            <v>Mesa De Centro</v>
          </cell>
        </row>
        <row r="3206">
          <cell r="F3206" t="str">
            <v>Mesa Hexagonal</v>
          </cell>
        </row>
        <row r="3207">
          <cell r="F3207" t="str">
            <v>Mesa Modular</v>
          </cell>
        </row>
        <row r="3208">
          <cell r="F3208" t="str">
            <v>Mesa Para Computador</v>
          </cell>
        </row>
        <row r="3209">
          <cell r="F3209" t="str">
            <v>Mesa Para Dibujo</v>
          </cell>
        </row>
        <row r="3210">
          <cell r="F3210" t="str">
            <v>Mesa Para Impresora</v>
          </cell>
        </row>
        <row r="3211">
          <cell r="F3211" t="str">
            <v>Mesa Para Maquina De Escribir</v>
          </cell>
        </row>
        <row r="3212">
          <cell r="F3212" t="str">
            <v>Mesa Para Televisor</v>
          </cell>
        </row>
        <row r="3213">
          <cell r="F3213" t="str">
            <v>Mesa Rectangular</v>
          </cell>
        </row>
        <row r="3214">
          <cell r="F3214" t="str">
            <v>Mesa Redonda</v>
          </cell>
        </row>
        <row r="3215">
          <cell r="F3215" t="str">
            <v>Mesa Triangular</v>
          </cell>
        </row>
        <row r="3216">
          <cell r="F3216" t="str">
            <v>Modulo Alcatraz</v>
          </cell>
        </row>
        <row r="3217">
          <cell r="F3217" t="str">
            <v>Mueble De Piso</v>
          </cell>
        </row>
        <row r="3218">
          <cell r="F3218" t="str">
            <v>Mueble Para Ctv</v>
          </cell>
        </row>
        <row r="3219">
          <cell r="F3219" t="str">
            <v>Papelera</v>
          </cell>
        </row>
        <row r="3220">
          <cell r="F3220" t="str">
            <v>Perchero</v>
          </cell>
        </row>
        <row r="3221">
          <cell r="F3221" t="str">
            <v>Planoteca</v>
          </cell>
        </row>
        <row r="3222">
          <cell r="F3222" t="str">
            <v>Poltrona</v>
          </cell>
        </row>
        <row r="3223">
          <cell r="F3223" t="str">
            <v>Rack</v>
          </cell>
        </row>
        <row r="3224">
          <cell r="F3224" t="str">
            <v>Repisa</v>
          </cell>
        </row>
        <row r="3225">
          <cell r="F3225" t="str">
            <v>Silla</v>
          </cell>
        </row>
        <row r="3226">
          <cell r="F3226" t="str">
            <v>Sillon</v>
          </cell>
        </row>
        <row r="3227">
          <cell r="F3227" t="str">
            <v>Archivo Rodante</v>
          </cell>
        </row>
        <row r="3228">
          <cell r="F3228" t="str">
            <v>Sofa</v>
          </cell>
        </row>
        <row r="3229">
          <cell r="F3229" t="str">
            <v>Tablero Acrilico</v>
          </cell>
        </row>
        <row r="3230">
          <cell r="F3230" t="str">
            <v>Tablero En Corcho</v>
          </cell>
        </row>
        <row r="3231">
          <cell r="F3231" t="str">
            <v>Ventilador</v>
          </cell>
        </row>
        <row r="3232">
          <cell r="F3232" t="str">
            <v>Vitrina</v>
          </cell>
        </row>
        <row r="3233">
          <cell r="F3233" t="str">
            <v>Mesa Para Impresora</v>
          </cell>
        </row>
        <row r="3234">
          <cell r="F3234" t="str">
            <v>Superficie Chapilla</v>
          </cell>
        </row>
        <row r="3235">
          <cell r="F3235" t="str">
            <v>Fichero Metalico</v>
          </cell>
        </row>
        <row r="3236">
          <cell r="F3236" t="str">
            <v>Cenicero De Piso</v>
          </cell>
        </row>
        <row r="3237">
          <cell r="F3237" t="str">
            <v>Mapas En Cuadro</v>
          </cell>
        </row>
        <row r="3238">
          <cell r="F3238" t="str">
            <v>Cartelera Informativa</v>
          </cell>
        </row>
        <row r="3239">
          <cell r="F3239" t="str">
            <v>Estructura En H</v>
          </cell>
        </row>
        <row r="3240">
          <cell r="F3240" t="str">
            <v>Cuadro</v>
          </cell>
        </row>
        <row r="3241">
          <cell r="F3241" t="str">
            <v xml:space="preserve">PERSIANAS CORTINAS Y </v>
          </cell>
        </row>
        <row r="3242">
          <cell r="F3242" t="str">
            <v>Persiana</v>
          </cell>
        </row>
        <row r="3243">
          <cell r="F3243" t="str">
            <v>TAPETES, PISOS Y ALFOMBRAS</v>
          </cell>
        </row>
        <row r="3244">
          <cell r="F3244" t="str">
            <v>Alfombra</v>
          </cell>
        </row>
        <row r="3245">
          <cell r="F3245" t="str">
            <v>SUPERFICIES MODULARES</v>
          </cell>
        </row>
        <row r="3246">
          <cell r="F3246" t="str">
            <v>Superficie Rectangular</v>
          </cell>
        </row>
        <row r="3247">
          <cell r="F3247" t="str">
            <v>Bandeja Portateclado</v>
          </cell>
        </row>
        <row r="3248">
          <cell r="F3248" t="str">
            <v>Superficie Redonda</v>
          </cell>
        </row>
        <row r="3249">
          <cell r="F3249" t="str">
            <v>Superficie Cuadrada</v>
          </cell>
        </row>
        <row r="3250">
          <cell r="F3250" t="str">
            <v>Superficie En L</v>
          </cell>
        </row>
        <row r="3251">
          <cell r="F3251" t="str">
            <v>DIVISIONES MODULARES</v>
          </cell>
        </row>
        <row r="3252">
          <cell r="F3252" t="str">
            <v>Panel</v>
          </cell>
        </row>
        <row r="3253">
          <cell r="F3253" t="str">
            <v>Pantalla</v>
          </cell>
        </row>
        <row r="3254">
          <cell r="F3254" t="str">
            <v xml:space="preserve">STANDS, EXHIBIDORES Y </v>
          </cell>
        </row>
        <row r="3255">
          <cell r="F3255" t="str">
            <v>Stand</v>
          </cell>
        </row>
        <row r="3256">
          <cell r="F3256" t="str">
            <v>Exhibidor</v>
          </cell>
        </row>
        <row r="3257">
          <cell r="F3257" t="str">
            <v>Mueble Publicitario</v>
          </cell>
        </row>
        <row r="3258">
          <cell r="F3258" t="str">
            <v>Estabilizador</v>
          </cell>
        </row>
        <row r="3259">
          <cell r="F3259" t="str">
            <v>Calculadora</v>
          </cell>
        </row>
        <row r="3260">
          <cell r="F3260" t="str">
            <v>Destructor De Papel</v>
          </cell>
        </row>
        <row r="3261">
          <cell r="F3261" t="str">
            <v>Maquina De Escribir</v>
          </cell>
        </row>
        <row r="3262">
          <cell r="F3262" t="str">
            <v>Anilladora</v>
          </cell>
        </row>
        <row r="3263">
          <cell r="F3263" t="str">
            <v>Calefactor</v>
          </cell>
        </row>
        <row r="3264">
          <cell r="F3264" t="str">
            <v>Equipo De Sonido</v>
          </cell>
        </row>
        <row r="3265">
          <cell r="F3265" t="str">
            <v>Guillotina</v>
          </cell>
        </row>
        <row r="3266">
          <cell r="F3266" t="str">
            <v>EQUIPO DE AUDIO Y VIDEO</v>
          </cell>
        </row>
        <row r="3267">
          <cell r="F3267" t="str">
            <v>Camara Fotografica</v>
          </cell>
        </row>
        <row r="3268">
          <cell r="F3268" t="str">
            <v>Betamax</v>
          </cell>
        </row>
        <row r="3269">
          <cell r="F3269" t="str">
            <v>Camara De Video</v>
          </cell>
        </row>
        <row r="3270">
          <cell r="F3270" t="str">
            <v>Equipo De Sonido</v>
          </cell>
        </row>
        <row r="3271">
          <cell r="F3271" t="str">
            <v>Grabadora Periodistica</v>
          </cell>
        </row>
        <row r="3272">
          <cell r="F3272" t="str">
            <v>Televisor</v>
          </cell>
        </row>
        <row r="3273">
          <cell r="F3273" t="str">
            <v>Reproductor De Vhs</v>
          </cell>
        </row>
        <row r="3274">
          <cell r="F3274" t="str">
            <v>Video Beam</v>
          </cell>
        </row>
        <row r="3275">
          <cell r="F3275" t="str">
            <v>TERRENOS</v>
          </cell>
        </row>
        <row r="3277">
          <cell r="F3277" t="str">
            <v>TERRENOS</v>
          </cell>
        </row>
        <row r="3278">
          <cell r="F3278" t="str">
            <v>INGRESOS PRESTACION SERVICIOS 16%</v>
          </cell>
        </row>
        <row r="3280">
          <cell r="F3280" t="str">
            <v>Evaluaciones</v>
          </cell>
        </row>
        <row r="3281">
          <cell r="F3281" t="str">
            <v>Expedicion de Certificados</v>
          </cell>
        </row>
        <row r="3282">
          <cell r="F3282" t="str">
            <v>Talleres</v>
          </cell>
        </row>
        <row r="3283">
          <cell r="F3283" t="str">
            <v>Conratos Gobierno</v>
          </cell>
        </row>
        <row r="3284">
          <cell r="F3284" t="str">
            <v>VENTA</v>
          </cell>
        </row>
        <row r="3285">
          <cell r="F3285" t="str">
            <v xml:space="preserve">INGRESOS PRESTACION </v>
          </cell>
        </row>
        <row r="3286">
          <cell r="F3286" t="str">
            <v xml:space="preserve">INGRESOS PRESTACION </v>
          </cell>
        </row>
        <row r="3287">
          <cell r="F3287" t="str">
            <v>ESTUDIOS Y PROYECTOS</v>
          </cell>
        </row>
        <row r="3289">
          <cell r="F3289" t="str">
            <v>GENERALES</v>
          </cell>
        </row>
        <row r="3290">
          <cell r="F3290" t="str">
            <v xml:space="preserve">Servicios de Investigacion en </v>
          </cell>
        </row>
        <row r="3291">
          <cell r="F3291" t="str">
            <v>SERVICIOS</v>
          </cell>
        </row>
        <row r="3292">
          <cell r="F3292" t="str">
            <v>ESTUDIOS Y PROYECTOS</v>
          </cell>
        </row>
        <row r="3293">
          <cell r="F3293" t="str">
            <v>Estudios y Proyectos</v>
          </cell>
        </row>
        <row r="3294">
          <cell r="F3294" t="str">
            <v xml:space="preserve">COMISION, HONORARIOS Y </v>
          </cell>
        </row>
        <row r="3295">
          <cell r="F3295" t="str">
            <v>VIGILANCIA Y SEGURIDAD</v>
          </cell>
        </row>
        <row r="3296">
          <cell r="F3296" t="str">
            <v>MATERIALES Y SUMINISTROS</v>
          </cell>
        </row>
        <row r="3297">
          <cell r="F3297" t="str">
            <v>MANTENIMIENTO</v>
          </cell>
        </row>
        <row r="3298">
          <cell r="F3298" t="str">
            <v>REPARACIONES</v>
          </cell>
        </row>
        <row r="3299">
          <cell r="F3299" t="str">
            <v>SERVICIOS PUBLICOS</v>
          </cell>
        </row>
        <row r="3300">
          <cell r="F3300" t="str">
            <v>ARRENDAMIENTO</v>
          </cell>
        </row>
        <row r="3301">
          <cell r="F3301" t="str">
            <v>VIATICOS Y GASTOS DE VIAJE</v>
          </cell>
        </row>
        <row r="3302">
          <cell r="F3302" t="str">
            <v>PUBLICIDAD Y PROPAGANDA</v>
          </cell>
        </row>
        <row r="3303">
          <cell r="F3303" t="str">
            <v xml:space="preserve">IMPRESOS, PUBLICACIONES, </v>
          </cell>
        </row>
        <row r="3304">
          <cell r="F3304" t="str">
            <v>FOTOCOPIAS</v>
          </cell>
        </row>
        <row r="3305">
          <cell r="F3305" t="str">
            <v xml:space="preserve">COMUNICACIONES Y </v>
          </cell>
        </row>
        <row r="3306">
          <cell r="F3306" t="str">
            <v>SEGUROS GENERALES</v>
          </cell>
        </row>
        <row r="3307">
          <cell r="F3307" t="str">
            <v>IMPREVISTOS</v>
          </cell>
        </row>
        <row r="3308">
          <cell r="F3308" t="str">
            <v>COMBUSTIBLES Y LUBRICANTES</v>
          </cell>
        </row>
        <row r="3309">
          <cell r="F3309" t="str">
            <v xml:space="preserve">SERVICIOS DE ASEO, CAFETERIA </v>
          </cell>
        </row>
        <row r="3310">
          <cell r="F3310" t="str">
            <v>GASTOS LEGALES</v>
          </cell>
        </row>
        <row r="3311">
          <cell r="F3311" t="str">
            <v>OTROS GASTOS GENERALES</v>
          </cell>
        </row>
        <row r="3312">
          <cell r="F3312" t="str">
            <v>MATERIALES Y SUMINISTROS</v>
          </cell>
        </row>
        <row r="3314">
          <cell r="F3314" t="str">
            <v>Materiales y Suministros</v>
          </cell>
        </row>
        <row r="3315">
          <cell r="F3315" t="str">
            <v>MANTENIMIENTO</v>
          </cell>
        </row>
        <row r="3317">
          <cell r="F3317" t="str">
            <v xml:space="preserve">Construcción de edificios completos </v>
          </cell>
        </row>
        <row r="3318">
          <cell r="F3318" t="str">
            <v xml:space="preserve">Mantenimiento y reparación de </v>
          </cell>
        </row>
        <row r="3319">
          <cell r="F3319" t="str">
            <v>Servicio de mantenimiento</v>
          </cell>
        </row>
        <row r="3320">
          <cell r="F3320" t="str">
            <v xml:space="preserve">Servicios de acondicionamiento de </v>
          </cell>
        </row>
        <row r="3321">
          <cell r="F3321" t="str">
            <v xml:space="preserve">Servicios de Mantenimiento de </v>
          </cell>
        </row>
        <row r="3322">
          <cell r="F3322" t="str">
            <v xml:space="preserve">Servicios de mantenimiento para </v>
          </cell>
        </row>
        <row r="3323">
          <cell r="F3323" t="str">
            <v xml:space="preserve">Eliminación de desperdicios, aguas </v>
          </cell>
        </row>
        <row r="3324">
          <cell r="F3324" t="str">
            <v>Mantenimiento</v>
          </cell>
        </row>
        <row r="3325">
          <cell r="F3325" t="str">
            <v>REPARACIONES</v>
          </cell>
        </row>
        <row r="3327">
          <cell r="F3327" t="str">
            <v>Reparaciones</v>
          </cell>
        </row>
        <row r="3328">
          <cell r="F3328" t="str">
            <v>VIATICOS Y GASTOS DE VIAJE VIATICOS</v>
          </cell>
        </row>
        <row r="3330">
          <cell r="F3330" t="str">
            <v xml:space="preserve">Actividades de agencias de viajes, </v>
          </cell>
        </row>
        <row r="3331">
          <cell r="F3331" t="str">
            <v xml:space="preserve">Otros tipos de transporte no regular </v>
          </cell>
        </row>
        <row r="3332">
          <cell r="F3332" t="str">
            <v>Viaticos Y Gastos De Viaje Viaticos</v>
          </cell>
        </row>
        <row r="3333">
          <cell r="F3333" t="str">
            <v>VIATICOS Y GASTOS DE VIAJE PASAJES</v>
          </cell>
        </row>
        <row r="3335">
          <cell r="F3335" t="str">
            <v>Viaticos Y Gastos De Viaje Pasajes</v>
          </cell>
        </row>
        <row r="3336">
          <cell r="F3336" t="str">
            <v>OTROS GTOS GENER GTOS LEGAL Y NOTARIAL</v>
          </cell>
        </row>
        <row r="3338">
          <cell r="F3338" t="str">
            <v xml:space="preserve">Otros Gastos Generales Gastos </v>
          </cell>
        </row>
        <row r="3339">
          <cell r="F3339" t="str">
            <v>OTROS GTOS GENERALES ADMON DE EDIFICIOS</v>
          </cell>
        </row>
        <row r="3341">
          <cell r="F3341" t="str">
            <v xml:space="preserve">Otros Gastos Generales </v>
          </cell>
        </row>
        <row r="3342">
          <cell r="F3342" t="str">
            <v>OTROS GTOS GENERALES BIENESTAR SOCIAL</v>
          </cell>
        </row>
        <row r="3344">
          <cell r="F3344" t="str">
            <v>Actividades de bienestar social</v>
          </cell>
        </row>
        <row r="3345">
          <cell r="F3345" t="str">
            <v xml:space="preserve">Actividades de logistica de eventos </v>
          </cell>
        </row>
        <row r="3346">
          <cell r="F3346" t="str">
            <v>Actividades deportivas</v>
          </cell>
        </row>
        <row r="3347">
          <cell r="F3347" t="str">
            <v xml:space="preserve">Actividades teatrales y musicales y </v>
          </cell>
        </row>
        <row r="3348">
          <cell r="F3348" t="str">
            <v xml:space="preserve">Otras actividades de entretenimiento </v>
          </cell>
        </row>
        <row r="3349">
          <cell r="F3349" t="str">
            <v xml:space="preserve">Otras actividades relacionadas con </v>
          </cell>
        </row>
        <row r="3350">
          <cell r="F3350" t="str">
            <v>Servicios médicos y odóntologos</v>
          </cell>
        </row>
        <row r="3351">
          <cell r="F3351" t="str">
            <v xml:space="preserve">Capcitacion Y Bienestar Social Y </v>
          </cell>
        </row>
        <row r="3352">
          <cell r="F3352" t="str">
            <v xml:space="preserve">Otros Gastos Generales Bienestar </v>
          </cell>
        </row>
        <row r="3353">
          <cell r="F3353" t="str">
            <v>OTROS GASTOS GENERALES PORTES Y TELEX</v>
          </cell>
        </row>
        <row r="3355">
          <cell r="F3355" t="str">
            <v xml:space="preserve">Otros Gastos Generales Portes Y </v>
          </cell>
        </row>
        <row r="3356">
          <cell r="F3356" t="str">
            <v>OTROS GASTOS GENERALES AVALUOS A PREDIOS</v>
          </cell>
        </row>
        <row r="3358">
          <cell r="F3358" t="str">
            <v xml:space="preserve">Otros Gastos Generales Avaluos A </v>
          </cell>
        </row>
        <row r="3359">
          <cell r="F3359" t="str">
            <v>OTROS GTS GNRL SERVI DE MICROFILMACION</v>
          </cell>
        </row>
        <row r="3361">
          <cell r="F3361" t="str">
            <v>Exhibición de films y videocintas</v>
          </cell>
        </row>
        <row r="3362">
          <cell r="F3362" t="str">
            <v xml:space="preserve">Otros Gastos Generales Servicio De </v>
          </cell>
        </row>
        <row r="3363">
          <cell r="F3363" t="str">
            <v>OTROS GASTOS GENERALES CERTIFICADOS</v>
          </cell>
        </row>
        <row r="3365">
          <cell r="F3365" t="str">
            <v xml:space="preserve">Otros Gastos Generales </v>
          </cell>
        </row>
        <row r="3366">
          <cell r="F3366" t="str">
            <v>OTROS GTOS GENER PLAN GESTION AMBIENTAL</v>
          </cell>
        </row>
        <row r="3368">
          <cell r="F3368" t="str">
            <v xml:space="preserve">Otros Gastos Generales Plan </v>
          </cell>
        </row>
        <row r="3369">
          <cell r="F3369" t="str">
            <v>OTROS GTOS GENER DISTRIB PUBLICACIONES</v>
          </cell>
        </row>
        <row r="3371">
          <cell r="F3371" t="str">
            <v xml:space="preserve">Otros Gastos Generales Distribucion </v>
          </cell>
        </row>
        <row r="3372">
          <cell r="F3372" t="str">
            <v>SERVICIOS PUBLICOS ENERGIA</v>
          </cell>
        </row>
        <row r="3374">
          <cell r="F3374" t="str">
            <v>Servicios Publicos Energia</v>
          </cell>
        </row>
        <row r="3375">
          <cell r="F3375" t="str">
            <v>SERVICIO ACUEDUCTO Y ALCANTARILLADO</v>
          </cell>
        </row>
        <row r="3377">
          <cell r="F3377" t="str">
            <v>Servicio Acueducto y Alcantarillado</v>
          </cell>
        </row>
        <row r="3378">
          <cell r="F3378" t="str">
            <v>SERVICIOS PUBLICOS TELEFONIA LOCAL</v>
          </cell>
        </row>
        <row r="3380">
          <cell r="F3380" t="str">
            <v>Servicios Publicos Telefonia local</v>
          </cell>
        </row>
        <row r="3381">
          <cell r="F3381" t="str">
            <v>SERVICIOS PUBLICOS TELEFONIA CELULAR</v>
          </cell>
        </row>
        <row r="3383">
          <cell r="F3383" t="str">
            <v>Servicios Publicos Telefonia Celular</v>
          </cell>
        </row>
        <row r="3384">
          <cell r="F3384" t="str">
            <v>SERVICIO DE ASEO</v>
          </cell>
        </row>
        <row r="3386">
          <cell r="F3386" t="str">
            <v>Servicio de Aseo</v>
          </cell>
        </row>
        <row r="3387">
          <cell r="F3387" t="str">
            <v>ARRENDAMIENTO</v>
          </cell>
        </row>
        <row r="3389">
          <cell r="F3389" t="str">
            <v>Almacenamiento y depósito</v>
          </cell>
        </row>
        <row r="3390">
          <cell r="F3390" t="str">
            <v xml:space="preserve">Arrendamiento de bienes muebles o </v>
          </cell>
        </row>
        <row r="3391">
          <cell r="F3391" t="str">
            <v xml:space="preserve">Hoteles; campamentos y otros tipos </v>
          </cell>
        </row>
        <row r="3392">
          <cell r="F3392" t="str">
            <v>Arrendamiento</v>
          </cell>
        </row>
        <row r="3393">
          <cell r="F3393" t="str">
            <v>PUBLICIDAD Y PROPAGANDA</v>
          </cell>
        </row>
        <row r="3395">
          <cell r="F3395" t="str">
            <v>Actividades de agencias de noticias</v>
          </cell>
        </row>
        <row r="3396">
          <cell r="F3396" t="str">
            <v>Servicios de publicidad</v>
          </cell>
        </row>
        <row r="3397">
          <cell r="F3397" t="str">
            <v>Publicidad y Propaganda</v>
          </cell>
        </row>
        <row r="3398">
          <cell r="F3398" t="str">
            <v>IMPRESOS,PUBLICAC,SUSCRIP Y AFILIAC</v>
          </cell>
        </row>
        <row r="3400">
          <cell r="F3400" t="str">
            <v>Actividades de fotografía</v>
          </cell>
        </row>
        <row r="3401">
          <cell r="F3401" t="str">
            <v xml:space="preserve">Edición de libros, folletos, partituras </v>
          </cell>
        </row>
        <row r="3402">
          <cell r="F3402" t="str">
            <v>Edición de materiales grabados</v>
          </cell>
        </row>
        <row r="3403">
          <cell r="F3403" t="str">
            <v xml:space="preserve">Edición de periódicos, revistas y </v>
          </cell>
        </row>
        <row r="3404">
          <cell r="F3404" t="str">
            <v>Otros trabajos de edición</v>
          </cell>
        </row>
        <row r="3405">
          <cell r="F3405" t="str">
            <v xml:space="preserve">Reproducción de materiales </v>
          </cell>
        </row>
        <row r="3406">
          <cell r="F3406" t="str">
            <v xml:space="preserve">Servicio de digitacion, diagramacion </v>
          </cell>
        </row>
        <row r="3407">
          <cell r="F3407" t="str">
            <v>Servicios de impresión</v>
          </cell>
        </row>
        <row r="3408">
          <cell r="F3408" t="str">
            <v>Impresos,Publicaciones,Suscripcion</v>
          </cell>
        </row>
        <row r="3409">
          <cell r="F3409" t="str">
            <v>FOTOCOPIAS</v>
          </cell>
        </row>
        <row r="3411">
          <cell r="F3411" t="str">
            <v xml:space="preserve">Servicio de fotocopia, anillado y </v>
          </cell>
        </row>
        <row r="3412">
          <cell r="F3412" t="str">
            <v>Fotocopias</v>
          </cell>
        </row>
        <row r="3413">
          <cell r="F3413" t="str">
            <v>COMUNICACIONES Y TRANSPORTES</v>
          </cell>
        </row>
        <row r="3415">
          <cell r="F3415" t="str">
            <v>Actividades de correo</v>
          </cell>
        </row>
        <row r="3416">
          <cell r="F3416" t="str">
            <v xml:space="preserve">Actividades de correo distintas de </v>
          </cell>
        </row>
        <row r="3417">
          <cell r="F3417" t="str">
            <v xml:space="preserve">Otros tipos de transporte regular de </v>
          </cell>
        </row>
        <row r="3418">
          <cell r="F3418" t="str">
            <v>Comunicaciones y Transportes</v>
          </cell>
        </row>
        <row r="3419">
          <cell r="F3419" t="str">
            <v>SEGUROS GENERALES</v>
          </cell>
        </row>
        <row r="3421">
          <cell r="F3421" t="str">
            <v xml:space="preserve">Servicios de asesoria en planes de </v>
          </cell>
        </row>
        <row r="3422">
          <cell r="F3422" t="str">
            <v>Seguros Generales</v>
          </cell>
        </row>
        <row r="3423">
          <cell r="F3423" t="str">
            <v>IMPREVISTOS</v>
          </cell>
        </row>
        <row r="3425">
          <cell r="F3425" t="str">
            <v>Imprevistos</v>
          </cell>
        </row>
        <row r="3426">
          <cell r="F3426" t="str">
            <v>COMBUSTIBLES Y LUBRICANTES</v>
          </cell>
        </row>
        <row r="3428">
          <cell r="F3428" t="str">
            <v>Combustibles y Lubricantes</v>
          </cell>
        </row>
        <row r="3429">
          <cell r="F3429" t="str">
            <v>GASTOS LEGALES</v>
          </cell>
        </row>
        <row r="3431">
          <cell r="F3431" t="str">
            <v>Gastos Legales</v>
          </cell>
        </row>
        <row r="3432">
          <cell r="F3432" t="str">
            <v xml:space="preserve"> HONORARIOS</v>
          </cell>
        </row>
        <row r="3434">
          <cell r="F3434" t="str">
            <v>Comisiones</v>
          </cell>
        </row>
        <row r="3435">
          <cell r="F3435" t="str">
            <v>Honorarios</v>
          </cell>
        </row>
        <row r="3436">
          <cell r="F3436" t="str">
            <v xml:space="preserve">Actividades de administración </v>
          </cell>
        </row>
        <row r="3437">
          <cell r="F3437" t="str">
            <v xml:space="preserve">Actividades de asesoramiento </v>
          </cell>
        </row>
        <row r="3438">
          <cell r="F3438" t="str">
            <v xml:space="preserve">Actividades de consultoria de </v>
          </cell>
        </row>
        <row r="3439">
          <cell r="F3439" t="str">
            <v xml:space="preserve">Actividades de contabilidad, </v>
          </cell>
        </row>
        <row r="3440">
          <cell r="F3440" t="str">
            <v xml:space="preserve">Actividades de organizaciones </v>
          </cell>
        </row>
        <row r="3441">
          <cell r="F3441" t="str">
            <v>Actividades de otras asociaciones</v>
          </cell>
        </row>
        <row r="3442">
          <cell r="F3442" t="str">
            <v xml:space="preserve">Actividades inmobiliarias realizadas </v>
          </cell>
        </row>
        <row r="3443">
          <cell r="F3443" t="str">
            <v>Actividades jurídicas</v>
          </cell>
        </row>
        <row r="3444">
          <cell r="F3444" t="str">
            <v xml:space="preserve">Actividades relacionadas con clima </v>
          </cell>
        </row>
        <row r="3445">
          <cell r="F3445" t="str">
            <v xml:space="preserve">Consultores en informática y </v>
          </cell>
        </row>
        <row r="3446">
          <cell r="F3446" t="str">
            <v xml:space="preserve">Consultorias sobre gestión de la </v>
          </cell>
        </row>
        <row r="3447">
          <cell r="F3447" t="str">
            <v>Ensayos y análisis técnicos</v>
          </cell>
        </row>
        <row r="3448">
          <cell r="F3448" t="str">
            <v>Servicio calificacion de respuestas</v>
          </cell>
        </row>
        <row r="3449">
          <cell r="F3449" t="str">
            <v>Servicio construcción preguntas</v>
          </cell>
        </row>
        <row r="3450">
          <cell r="F3450" t="str">
            <v>Servicio de auditoria</v>
          </cell>
        </row>
        <row r="3451">
          <cell r="F3451" t="str">
            <v xml:space="preserve">Servicio de codificacion de </v>
          </cell>
        </row>
        <row r="3452">
          <cell r="F3452" t="str">
            <v xml:space="preserve">Servicio de revisión de estilo de </v>
          </cell>
        </row>
        <row r="3453">
          <cell r="F3453" t="str">
            <v>Servicio de revisión de pruebas</v>
          </cell>
        </row>
        <row r="3454">
          <cell r="F3454" t="str">
            <v>Servicio de traduccion</v>
          </cell>
        </row>
        <row r="3455">
          <cell r="F3455" t="str">
            <v xml:space="preserve">Servicios de Avalúo de bienes </v>
          </cell>
        </row>
        <row r="3456">
          <cell r="F3456" t="str">
            <v>Servicios de bibliotecas y archivos</v>
          </cell>
        </row>
        <row r="3457">
          <cell r="F3457" t="str">
            <v xml:space="preserve">Servicios de contabilidad, teneduría </v>
          </cell>
        </row>
        <row r="3458">
          <cell r="F3458" t="str">
            <v xml:space="preserve">Servicios de Investigación de </v>
          </cell>
        </row>
        <row r="3459">
          <cell r="F3459" t="str">
            <v xml:space="preserve">Regulación de las actividades de </v>
          </cell>
        </row>
        <row r="3460">
          <cell r="F3460" t="str">
            <v>VIGILANCIA Y SEGURIDAD</v>
          </cell>
        </row>
        <row r="3462">
          <cell r="F3462" t="str">
            <v>Vigilancia y seguridad</v>
          </cell>
        </row>
        <row r="3463">
          <cell r="F3463" t="str">
            <v xml:space="preserve">Servicios de Vigilancia y seguridad </v>
          </cell>
        </row>
        <row r="3464">
          <cell r="F3464" t="str">
            <v>Vigilancia Y Seguridad</v>
          </cell>
        </row>
        <row r="3465">
          <cell r="F3465" t="str">
            <v>SERVICIO DE ASEO,CAFETERIA Y RESTAURANTE</v>
          </cell>
        </row>
        <row r="3467">
          <cell r="F3467" t="str">
            <v>Restaurantes, bares y cantinas</v>
          </cell>
        </row>
        <row r="3468">
          <cell r="F3468" t="str">
            <v>Actividades de aseo y cafeteria</v>
          </cell>
        </row>
        <row r="3469">
          <cell r="F3469" t="str">
            <v xml:space="preserve">Servicio De Aseo, Cafeteria Y </v>
          </cell>
        </row>
        <row r="3470">
          <cell r="F3470" t="str">
            <v>SERVICIOS TECNICOS</v>
          </cell>
        </row>
        <row r="3472">
          <cell r="F3472" t="str">
            <v>Servicios</v>
          </cell>
        </row>
        <row r="3473">
          <cell r="F3473" t="str">
            <v>ORGANIZACION Y EVENTOS</v>
          </cell>
        </row>
        <row r="3475">
          <cell r="F3475" t="str">
            <v>ORGANIZACION DE EVENTOS</v>
          </cell>
        </row>
        <row r="3476">
          <cell r="F3476" t="str">
            <v xml:space="preserve">Actividades de logistica diferentes a </v>
          </cell>
        </row>
        <row r="3477">
          <cell r="F3477" t="str">
            <v>BONIFICACION DE SERVICIOS</v>
          </cell>
        </row>
        <row r="3479">
          <cell r="F3479" t="str">
            <v>Servicio consolidacion informacion</v>
          </cell>
        </row>
        <row r="3480">
          <cell r="F3480" t="str">
            <v>SEGURIDAD INDUSTRIAL</v>
          </cell>
        </row>
        <row r="3482">
          <cell r="F3482" t="str">
            <v>SEGURIDAD INDUSTRIAL</v>
          </cell>
        </row>
        <row r="3483">
          <cell r="F3483" t="str">
            <v>Señaletica</v>
          </cell>
        </row>
        <row r="3484">
          <cell r="F3484" t="str">
            <v>CONTRATOS DE APRENDIZAJE</v>
          </cell>
        </row>
        <row r="3486">
          <cell r="F3486" t="str">
            <v>CONTRATOS DE APRENDIZAJE</v>
          </cell>
        </row>
        <row r="3487">
          <cell r="F3487" t="str">
            <v xml:space="preserve">Servicios de pasantias y/o practicas </v>
          </cell>
        </row>
        <row r="3488">
          <cell r="F3488" t="str">
            <v>PASAJES AEROLINEAS</v>
          </cell>
        </row>
        <row r="3490">
          <cell r="F3490" t="str">
            <v>Pasajes Aerolineas</v>
          </cell>
        </row>
        <row r="3491">
          <cell r="F3491" t="str">
            <v>GASTOS PASAJES TASAS Y SOBRETASAS</v>
          </cell>
        </row>
        <row r="3493">
          <cell r="F3493" t="str">
            <v>Gastos Pasajes Tasas Y Sobretasas</v>
          </cell>
        </row>
        <row r="3494">
          <cell r="F3494" t="str">
            <v>PASAJES TERRITORIOS NACIONALES</v>
          </cell>
        </row>
        <row r="3496">
          <cell r="F3496" t="str">
            <v>Pasajes Territorios Nacionales</v>
          </cell>
        </row>
        <row r="3497">
          <cell r="F3497" t="str">
            <v>GASTOS PASAJES TARIFA ADMON</v>
          </cell>
        </row>
        <row r="3499">
          <cell r="F3499" t="str">
            <v>Gastos PasajesTarifa Admon</v>
          </cell>
        </row>
        <row r="3500">
          <cell r="F3500" t="str">
            <v>GTOS PASAJES SATENA TARI NETA Y COMBUSTI</v>
          </cell>
        </row>
        <row r="3502">
          <cell r="F3502" t="str">
            <v xml:space="preserve">Gastos Pasajes Satena Tarifa Neta </v>
          </cell>
        </row>
        <row r="3503">
          <cell r="F3503" t="str">
            <v>C-ELEMENTOS DE ESCRITORIO Y OFICINA</v>
          </cell>
        </row>
        <row r="3505">
          <cell r="F3505" t="str">
            <v>CONSUMO CON CONTROL</v>
          </cell>
        </row>
        <row r="3506">
          <cell r="F3506" t="str">
            <v xml:space="preserve">ELEMENTOS DE ESCRITORIO Y </v>
          </cell>
        </row>
        <row r="3507">
          <cell r="F3507" t="str">
            <v xml:space="preserve">ELEMENTOS BÁSICOS DE </v>
          </cell>
        </row>
        <row r="3508">
          <cell r="F3508" t="str">
            <v>Cosedora Electrica</v>
          </cell>
        </row>
        <row r="3509">
          <cell r="F3509" t="str">
            <v>Cosedora Manual</v>
          </cell>
        </row>
        <row r="3510">
          <cell r="F3510" t="str">
            <v>Perforadora</v>
          </cell>
        </row>
        <row r="3511">
          <cell r="F3511" t="str">
            <v>Sacagancho</v>
          </cell>
        </row>
        <row r="3512">
          <cell r="F3512" t="str">
            <v>Tajalapiz Electrico</v>
          </cell>
        </row>
        <row r="3513">
          <cell r="F3513" t="str">
            <v>Cenicero</v>
          </cell>
        </row>
        <row r="3514">
          <cell r="F3514" t="str">
            <v>Tajalapiz Manual</v>
          </cell>
        </row>
        <row r="3515">
          <cell r="F3515" t="str">
            <v>Porta Papel</v>
          </cell>
        </row>
        <row r="3516">
          <cell r="F3516" t="str">
            <v>Porta Diskette</v>
          </cell>
        </row>
        <row r="3517">
          <cell r="F3517" t="str">
            <v>ELEMENTOS ERGONÓMICOS</v>
          </cell>
        </row>
        <row r="3518">
          <cell r="F3518" t="str">
            <v>Gel Teclado</v>
          </cell>
        </row>
        <row r="3519">
          <cell r="F3519" t="str">
            <v>Apoya Pie</v>
          </cell>
        </row>
        <row r="3520">
          <cell r="F3520" t="str">
            <v>Soporte Para Portatil</v>
          </cell>
        </row>
        <row r="3521">
          <cell r="F3521" t="str">
            <v>Soporte Para Monitor</v>
          </cell>
        </row>
        <row r="3522">
          <cell r="F3522" t="str">
            <v>Soporte Documentos</v>
          </cell>
        </row>
        <row r="3523">
          <cell r="F3523" t="str">
            <v>C-BIENES DE CULTO</v>
          </cell>
        </row>
        <row r="3525">
          <cell r="F3525" t="str">
            <v xml:space="preserve">ELEMENTOS DE ARTE Y </v>
          </cell>
        </row>
        <row r="3526">
          <cell r="F3526" t="str">
            <v>ELEMENTOS DE CULTO</v>
          </cell>
        </row>
        <row r="3527">
          <cell r="F3527" t="str">
            <v>Crucifijo</v>
          </cell>
        </row>
        <row r="3528">
          <cell r="F3528" t="str">
            <v>ELEMENTOS DE ASEO Y CAFETERIA</v>
          </cell>
        </row>
        <row r="3530">
          <cell r="F3530" t="str">
            <v xml:space="preserve">ELEMENTOS DE ASEO Y </v>
          </cell>
        </row>
        <row r="3531">
          <cell r="F3531" t="str">
            <v xml:space="preserve">ELEMENTOS DE COMEDOR Y </v>
          </cell>
        </row>
        <row r="3532">
          <cell r="F3532" t="str">
            <v>ELEMENTOS DE HIGIENE Y ASEO</v>
          </cell>
        </row>
        <row r="3533">
          <cell r="F3533" t="str">
            <v>Caneca</v>
          </cell>
        </row>
        <row r="3535">
          <cell r="F3535" t="str">
            <v>Actividades de aseo y cafeteria</v>
          </cell>
        </row>
        <row r="3536">
          <cell r="F3536" t="str">
            <v>Restaurantes, bares y cantinas</v>
          </cell>
        </row>
        <row r="3537">
          <cell r="F3537" t="str">
            <v>Servicios de Aseo</v>
          </cell>
        </row>
        <row r="3538">
          <cell r="F3538" t="str">
            <v>C-ELEMENTOS ESPECIALES DISCAPACITADOS</v>
          </cell>
        </row>
        <row r="3540">
          <cell r="F3540" t="str">
            <v xml:space="preserve">ELEMENTOS ESPECIALES PARA </v>
          </cell>
        </row>
        <row r="3541">
          <cell r="F3541" t="str">
            <v>C-ELEMENTOS MUSICALES</v>
          </cell>
        </row>
        <row r="3543">
          <cell r="F3543" t="str">
            <v>ELEMENTOS MUSICALES</v>
          </cell>
        </row>
        <row r="3544">
          <cell r="F3544" t="str">
            <v>Bandola</v>
          </cell>
        </row>
        <row r="3545">
          <cell r="F3545" t="str">
            <v>Caja</v>
          </cell>
        </row>
        <row r="3546">
          <cell r="F3546" t="str">
            <v>Cuatro</v>
          </cell>
        </row>
        <row r="3547">
          <cell r="F3547" t="str">
            <v>Guacaharaca</v>
          </cell>
        </row>
        <row r="3548">
          <cell r="F3548" t="str">
            <v>Guitarra</v>
          </cell>
        </row>
        <row r="3549">
          <cell r="F3549" t="str">
            <v>Organeta Yamaha</v>
          </cell>
        </row>
        <row r="3550">
          <cell r="F3550" t="str">
            <v>Rasca</v>
          </cell>
        </row>
        <row r="3551">
          <cell r="F3551" t="str">
            <v>Tambor</v>
          </cell>
        </row>
        <row r="3552">
          <cell r="F3552" t="str">
            <v>Tiple</v>
          </cell>
        </row>
        <row r="3553">
          <cell r="F3553" t="str">
            <v>C-OTROS BIENES DE ARTE Y CULTURA</v>
          </cell>
        </row>
        <row r="3555">
          <cell r="F3555" t="str">
            <v>LIBROS Y PUBLICACIONES</v>
          </cell>
        </row>
        <row r="3556">
          <cell r="F3556" t="str">
            <v>Texto De Bioquimica</v>
          </cell>
        </row>
        <row r="3557">
          <cell r="F3557" t="str">
            <v>Publicación De Codigo</v>
          </cell>
        </row>
        <row r="3558">
          <cell r="F3558" t="str">
            <v>Diccionario</v>
          </cell>
        </row>
        <row r="3559">
          <cell r="F3559" t="str">
            <v>Directorio</v>
          </cell>
        </row>
        <row r="3560">
          <cell r="F3560" t="str">
            <v>Literatura</v>
          </cell>
        </row>
        <row r="3561">
          <cell r="F3561" t="str">
            <v>Publicaciones Cientificas</v>
          </cell>
        </row>
        <row r="3562">
          <cell r="F3562" t="str">
            <v>Zoologia</v>
          </cell>
        </row>
        <row r="3563">
          <cell r="F3563" t="str">
            <v>Informatica</v>
          </cell>
        </row>
        <row r="3564">
          <cell r="F3564" t="str">
            <v>Bibliotecologia Y Archivo</v>
          </cell>
        </row>
        <row r="3565">
          <cell r="F3565" t="str">
            <v>Biología</v>
          </cell>
        </row>
        <row r="3566">
          <cell r="F3566" t="str">
            <v xml:space="preserve">OTROS ELEMENTOS DE ARTE Y </v>
          </cell>
        </row>
        <row r="3567">
          <cell r="F3567" t="str">
            <v>C-REPUESTOS, ACCESORIOS Y SIMILARES</v>
          </cell>
        </row>
        <row r="3569">
          <cell r="F3569" t="str">
            <v xml:space="preserve">REPUESTOS, ACCESORIOS Y </v>
          </cell>
        </row>
        <row r="3570">
          <cell r="F3570" t="str">
            <v xml:space="preserve">REPUESTOS PARA </v>
          </cell>
        </row>
        <row r="3571">
          <cell r="F3571" t="str">
            <v>Memoria Ddr</v>
          </cell>
        </row>
        <row r="3572">
          <cell r="F3572" t="str">
            <v>Memorias Usb</v>
          </cell>
        </row>
        <row r="3573">
          <cell r="F3573" t="str">
            <v>Tarjeta</v>
          </cell>
        </row>
        <row r="3574">
          <cell r="F3574" t="str">
            <v>Disco Duro</v>
          </cell>
        </row>
        <row r="3575">
          <cell r="F3575" t="str">
            <v>Fuente De Poder</v>
          </cell>
        </row>
        <row r="3576">
          <cell r="F3576" t="str">
            <v>Herramientas</v>
          </cell>
        </row>
        <row r="3577">
          <cell r="F3577" t="str">
            <v xml:space="preserve">REPUESTOS PARA MAQUINARIA </v>
          </cell>
        </row>
        <row r="3578">
          <cell r="F3578" t="str">
            <v xml:space="preserve">ACCESORIOS PARA </v>
          </cell>
        </row>
        <row r="3579">
          <cell r="F3579" t="str">
            <v>Parlante</v>
          </cell>
        </row>
        <row r="3580">
          <cell r="F3580" t="str">
            <v>Adaptadore De Corriente</v>
          </cell>
        </row>
        <row r="3581">
          <cell r="F3581" t="str">
            <v>Multitoma</v>
          </cell>
        </row>
        <row r="3582">
          <cell r="F3582" t="str">
            <v>Mouse</v>
          </cell>
        </row>
        <row r="3583">
          <cell r="F3583" t="str">
            <v>Teclado</v>
          </cell>
        </row>
        <row r="3584">
          <cell r="F3584" t="str">
            <v>Unidad Lectora De Disco Óptico</v>
          </cell>
        </row>
        <row r="3585">
          <cell r="F3585" t="str">
            <v xml:space="preserve">ACCESORIO PARA MAQUINARIA </v>
          </cell>
        </row>
        <row r="3586">
          <cell r="F3586" t="str">
            <v>HERRAMIENTAS Y AFINES</v>
          </cell>
        </row>
        <row r="3587">
          <cell r="F3587" t="str">
            <v>Barra</v>
          </cell>
        </row>
        <row r="3588">
          <cell r="F3588" t="str">
            <v>Raches</v>
          </cell>
        </row>
        <row r="3589">
          <cell r="F3589" t="str">
            <v>Calibrador</v>
          </cell>
        </row>
        <row r="3590">
          <cell r="F3590" t="str">
            <v>Escuadra</v>
          </cell>
        </row>
        <row r="3591">
          <cell r="F3591" t="str">
            <v>Formon</v>
          </cell>
        </row>
        <row r="3592">
          <cell r="F3592" t="str">
            <v>Hombresolo</v>
          </cell>
        </row>
        <row r="3593">
          <cell r="F3593" t="str">
            <v>Llave</v>
          </cell>
        </row>
        <row r="3594">
          <cell r="F3594" t="str">
            <v>Marcadores De Golpe</v>
          </cell>
        </row>
        <row r="3595">
          <cell r="F3595" t="str">
            <v>Lima</v>
          </cell>
        </row>
        <row r="3596">
          <cell r="F3596" t="str">
            <v>Llana</v>
          </cell>
        </row>
        <row r="3597">
          <cell r="F3597" t="str">
            <v>Martillo</v>
          </cell>
        </row>
        <row r="3598">
          <cell r="F3598" t="str">
            <v>Flexometro</v>
          </cell>
        </row>
        <row r="3599">
          <cell r="F3599" t="str">
            <v>Palustre</v>
          </cell>
        </row>
        <row r="3600">
          <cell r="F3600" t="str">
            <v>Pelacable</v>
          </cell>
        </row>
        <row r="3601">
          <cell r="F3601" t="str">
            <v>Pica</v>
          </cell>
        </row>
        <row r="3602">
          <cell r="F3602" t="str">
            <v>Pistola Para Silicona</v>
          </cell>
        </row>
        <row r="3603">
          <cell r="F3603" t="str">
            <v>Ponchadora De Plua</v>
          </cell>
        </row>
        <row r="3604">
          <cell r="F3604" t="str">
            <v>Serrucho</v>
          </cell>
        </row>
        <row r="3605">
          <cell r="F3605" t="str">
            <v>Tijera Para Metal</v>
          </cell>
        </row>
        <row r="3606">
          <cell r="F3606" t="str">
            <v>Cofre</v>
          </cell>
        </row>
        <row r="3607">
          <cell r="F3607" t="str">
            <v>Carro Para Zuncho</v>
          </cell>
        </row>
        <row r="3608">
          <cell r="F3608" t="str">
            <v>C-SOFTWARE</v>
          </cell>
        </row>
        <row r="3610">
          <cell r="F3610" t="str">
            <v>INTANGIBLES</v>
          </cell>
        </row>
        <row r="3611">
          <cell r="F3611" t="str">
            <v>LICENCIAS</v>
          </cell>
        </row>
        <row r="3612">
          <cell r="F3612" t="str">
            <v>Licencia</v>
          </cell>
        </row>
        <row r="3613">
          <cell r="F3613" t="str">
            <v>SOFTWARE</v>
          </cell>
        </row>
        <row r="3614">
          <cell r="F3614" t="str">
            <v>Software</v>
          </cell>
        </row>
        <row r="3615">
          <cell r="F3615" t="str">
            <v>C-STANDS Y EXHIBIDORES</v>
          </cell>
        </row>
        <row r="3617">
          <cell r="F3617" t="str">
            <v>PUBLICIDAD EXTERIOR</v>
          </cell>
        </row>
        <row r="3618">
          <cell r="F3618" t="str">
            <v>AVISOS DE FACHADA</v>
          </cell>
        </row>
        <row r="3619">
          <cell r="F3619" t="str">
            <v>Aviso</v>
          </cell>
        </row>
        <row r="3620">
          <cell r="F3620" t="str">
            <v>PUBLICIDAD INTERIOR</v>
          </cell>
        </row>
        <row r="3621">
          <cell r="F3621" t="str">
            <v xml:space="preserve">CARTELERAS, PENDONES Y </v>
          </cell>
        </row>
        <row r="3622">
          <cell r="F3622" t="str">
            <v>Pendon</v>
          </cell>
        </row>
        <row r="3623">
          <cell r="F3623" t="str">
            <v>Pancarta</v>
          </cell>
        </row>
        <row r="3624">
          <cell r="F3624" t="str">
            <v>Telon</v>
          </cell>
        </row>
        <row r="3625">
          <cell r="F3625" t="str">
            <v>C-ELEMENTOS Y DOTACIONES A TRABAJADORES</v>
          </cell>
        </row>
        <row r="3627">
          <cell r="F3627" t="str">
            <v xml:space="preserve">ELEMENTOS MÉDICOS Y </v>
          </cell>
        </row>
        <row r="3628">
          <cell r="F3628" t="str">
            <v xml:space="preserve">ELEMENTOS PARA PRIMEROS </v>
          </cell>
        </row>
        <row r="3629">
          <cell r="F3629" t="str">
            <v>Chaleco</v>
          </cell>
        </row>
        <row r="3630">
          <cell r="F3630" t="str">
            <v>Casco</v>
          </cell>
        </row>
        <row r="3631">
          <cell r="F3631" t="str">
            <v>Guantes</v>
          </cell>
        </row>
        <row r="3632">
          <cell r="F3632" t="str">
            <v>Silvato</v>
          </cell>
        </row>
        <row r="3633">
          <cell r="F3633" t="str">
            <v>Linterna</v>
          </cell>
        </row>
        <row r="3634">
          <cell r="F3634" t="str">
            <v>Maletin</v>
          </cell>
        </row>
        <row r="3635">
          <cell r="F3635" t="str">
            <v>Manta</v>
          </cell>
        </row>
        <row r="3636">
          <cell r="F3636" t="str">
            <v>Botiquín</v>
          </cell>
        </row>
        <row r="3637">
          <cell r="F3637" t="str">
            <v>C-ELEMENTOS DE CULTURA, RECREACIÓN Y DEP</v>
          </cell>
        </row>
        <row r="3639">
          <cell r="F3639" t="str">
            <v xml:space="preserve">ELEMENTOS DE CULTURA, </v>
          </cell>
        </row>
        <row r="3640">
          <cell r="F3640" t="str">
            <v>CALZADO DEPORTIVO</v>
          </cell>
        </row>
        <row r="3641">
          <cell r="F3641" t="str">
            <v>Guayos</v>
          </cell>
        </row>
        <row r="3642">
          <cell r="F3642" t="str">
            <v xml:space="preserve">VESTUARIO CULTURAL Y </v>
          </cell>
        </row>
        <row r="3643">
          <cell r="F3643" t="str">
            <v>Camiseta</v>
          </cell>
        </row>
        <row r="3644">
          <cell r="F3644" t="str">
            <v>Sudadera</v>
          </cell>
        </row>
        <row r="3645">
          <cell r="F3645" t="str">
            <v>Toga</v>
          </cell>
        </row>
        <row r="3646">
          <cell r="F3646" t="str">
            <v>Uniforme</v>
          </cell>
        </row>
        <row r="3647">
          <cell r="F3647" t="str">
            <v>Vestido</v>
          </cell>
        </row>
        <row r="3648">
          <cell r="F3648" t="str">
            <v xml:space="preserve">ACCESORIOS CULTURALES Y </v>
          </cell>
        </row>
        <row r="3649">
          <cell r="F3649" t="str">
            <v>Gorra</v>
          </cell>
        </row>
        <row r="3650">
          <cell r="F3650" t="str">
            <v>Canillera</v>
          </cell>
        </row>
        <row r="3651">
          <cell r="F3651" t="str">
            <v>Clise</v>
          </cell>
        </row>
        <row r="3652">
          <cell r="F3652" t="str">
            <v>Guantes</v>
          </cell>
        </row>
        <row r="3653">
          <cell r="F3653" t="str">
            <v>Paraguas Doble Tela</v>
          </cell>
        </row>
        <row r="3654">
          <cell r="F3654" t="str">
            <v xml:space="preserve">IMPLEMENTOS DE RECREACIÓN </v>
          </cell>
        </row>
        <row r="3655">
          <cell r="F3655" t="str">
            <v>Balon</v>
          </cell>
        </row>
        <row r="3656">
          <cell r="F3656" t="str">
            <v>Parqués</v>
          </cell>
        </row>
        <row r="3657">
          <cell r="F3657" t="str">
            <v>Domino</v>
          </cell>
        </row>
        <row r="3658">
          <cell r="F3658" t="str">
            <v>Ajedrez</v>
          </cell>
        </row>
        <row r="3659">
          <cell r="F3659" t="str">
            <v>Malla</v>
          </cell>
        </row>
        <row r="3660">
          <cell r="F3660" t="str">
            <v>IMPLEMENTOS CULTURALES</v>
          </cell>
        </row>
      </sheetData>
      <sheetData sheetId="2">
        <row r="2">
          <cell r="D2" t="str">
            <v>SELECCIÓN DIRECTA</v>
          </cell>
        </row>
      </sheetData>
      <sheetData sheetId="3">
        <row r="2">
          <cell r="B2" t="str">
            <v>Mantener canales de comunicacion usario</v>
          </cell>
        </row>
      </sheetData>
      <sheetData sheetId="4">
        <row r="5">
          <cell r="E5" t="str">
            <v>Junta directiva</v>
          </cell>
        </row>
      </sheetData>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de compras"/>
      <sheetName val="bienes y servicios"/>
      <sheetName val="UNIDAD MEDIDA"/>
      <sheetName val="proyectos"/>
      <sheetName val="centros de costo"/>
      <sheetName val="HOMOLOGACION RUBROS"/>
      <sheetName val="Hoja1"/>
    </sheetNames>
    <sheetDataSet>
      <sheetData sheetId="0" refreshError="1"/>
      <sheetData sheetId="1" refreshError="1"/>
      <sheetData sheetId="2">
        <row r="2">
          <cell r="D2" t="str">
            <v>SELECCIÓN DIRECTA</v>
          </cell>
        </row>
        <row r="3">
          <cell r="D3" t="str">
            <v>CONVOCATORIA PÚBLICA</v>
          </cell>
        </row>
      </sheetData>
      <sheetData sheetId="3" refreshError="1"/>
      <sheetData sheetId="4" refreshError="1"/>
      <sheetData sheetId="5" refreshError="1"/>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EXO 1_2014"/>
      <sheetName val="ANEXO 1 (2)"/>
      <sheetName val="Hoja3"/>
      <sheetName val="CONSOLIDADO."/>
      <sheetName val="cONSOLIDADO (2)"/>
      <sheetName val="cONSOLIDADO"/>
      <sheetName val="SECOP_ALEJOY CARO"/>
      <sheetName val="Anexo"/>
      <sheetName val="C01_INICIAL"/>
      <sheetName val="CO2"/>
      <sheetName val="CO3"/>
      <sheetName val="CO4"/>
      <sheetName val="CO5"/>
      <sheetName val="CO1_MODIFICADA"/>
      <sheetName val="SECOP_CONIE"/>
      <sheetName val="ICFES"/>
      <sheetName val="OPTIMA 2015"/>
      <sheetName val="SECOP_CATA"/>
    </sheetNames>
    <sheetDataSet>
      <sheetData sheetId="0" refreshError="1"/>
      <sheetData sheetId="1" refreshError="1"/>
      <sheetData sheetId="2" refreshError="1"/>
      <sheetData sheetId="3"/>
      <sheetData sheetId="4" refreshError="1"/>
      <sheetData sheetId="5" refreshError="1"/>
      <sheetData sheetId="6" refreshError="1"/>
      <sheetData sheetId="7" refreshError="1"/>
      <sheetData sheetId="8"/>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EXO 1_2014"/>
      <sheetName val="ANEXO 1 (2)"/>
      <sheetName val="Hoja3"/>
      <sheetName val="CONSOLIDADO."/>
      <sheetName val="cONSOLIDADO (2)"/>
      <sheetName val="cONSOLIDADO"/>
      <sheetName val="C01"/>
      <sheetName val="CO2"/>
      <sheetName val="CO3"/>
      <sheetName val="CO4"/>
    </sheetNames>
    <sheetDataSet>
      <sheetData sheetId="0" refreshError="1"/>
      <sheetData sheetId="1" refreshError="1"/>
      <sheetData sheetId="2" refreshError="1"/>
      <sheetData sheetId="3"/>
      <sheetData sheetId="4" refreshError="1"/>
      <sheetData sheetId="5" refreshError="1"/>
      <sheetData sheetId="6">
        <row r="12">
          <cell r="F12">
            <v>29700000</v>
          </cell>
        </row>
        <row r="13">
          <cell r="F13">
            <v>29400000</v>
          </cell>
        </row>
        <row r="14">
          <cell r="F14">
            <v>7300000</v>
          </cell>
        </row>
        <row r="15">
          <cell r="F15">
            <v>5400000</v>
          </cell>
        </row>
        <row r="16">
          <cell r="F16">
            <v>21000000</v>
          </cell>
        </row>
        <row r="17">
          <cell r="F17">
            <v>14500000</v>
          </cell>
        </row>
        <row r="18">
          <cell r="F18">
            <v>15400000</v>
          </cell>
        </row>
        <row r="19">
          <cell r="F19">
            <v>21000000</v>
          </cell>
        </row>
        <row r="21">
          <cell r="F21">
            <v>5000000</v>
          </cell>
        </row>
        <row r="31">
          <cell r="F31">
            <v>650000</v>
          </cell>
        </row>
        <row r="32">
          <cell r="F32">
            <v>1300</v>
          </cell>
        </row>
        <row r="33">
          <cell r="F33">
            <v>2100000</v>
          </cell>
        </row>
        <row r="34">
          <cell r="F34">
            <v>1500000</v>
          </cell>
        </row>
        <row r="35">
          <cell r="F35">
            <v>1400000</v>
          </cell>
        </row>
        <row r="36">
          <cell r="F36">
            <v>600000</v>
          </cell>
        </row>
        <row r="37">
          <cell r="F37">
            <v>310</v>
          </cell>
        </row>
        <row r="38">
          <cell r="F38">
            <v>900000</v>
          </cell>
        </row>
        <row r="39">
          <cell r="F39">
            <v>360</v>
          </cell>
        </row>
        <row r="40">
          <cell r="F40">
            <v>1200000</v>
          </cell>
        </row>
        <row r="41">
          <cell r="F41">
            <v>360</v>
          </cell>
        </row>
        <row r="42">
          <cell r="F42">
            <v>3500</v>
          </cell>
        </row>
        <row r="43">
          <cell r="F43">
            <v>1800</v>
          </cell>
        </row>
        <row r="44">
          <cell r="F44">
            <v>800000</v>
          </cell>
        </row>
        <row r="45">
          <cell r="F45">
            <v>5400</v>
          </cell>
        </row>
        <row r="46">
          <cell r="F46">
            <v>775000</v>
          </cell>
        </row>
        <row r="47">
          <cell r="F47">
            <v>4000</v>
          </cell>
        </row>
        <row r="48">
          <cell r="F48">
            <v>650000</v>
          </cell>
        </row>
        <row r="49">
          <cell r="F49">
            <v>290000</v>
          </cell>
        </row>
        <row r="50">
          <cell r="F50">
            <v>650000</v>
          </cell>
        </row>
        <row r="51">
          <cell r="F51">
            <v>390000</v>
          </cell>
        </row>
        <row r="52">
          <cell r="F52">
            <v>730000</v>
          </cell>
        </row>
        <row r="53">
          <cell r="F53">
            <v>280000</v>
          </cell>
        </row>
        <row r="54">
          <cell r="F54">
            <v>730000</v>
          </cell>
        </row>
        <row r="55">
          <cell r="F55">
            <v>540000</v>
          </cell>
        </row>
        <row r="56">
          <cell r="F56">
            <v>790000</v>
          </cell>
        </row>
        <row r="57">
          <cell r="F57" t="str">
            <v>N/A</v>
          </cell>
        </row>
        <row r="58">
          <cell r="F58">
            <v>920000</v>
          </cell>
        </row>
        <row r="59">
          <cell r="F59" t="str">
            <v>N/A</v>
          </cell>
        </row>
        <row r="60">
          <cell r="F60">
            <v>920000</v>
          </cell>
        </row>
        <row r="61">
          <cell r="F61" t="str">
            <v>N/A</v>
          </cell>
        </row>
        <row r="67">
          <cell r="F67">
            <v>3200</v>
          </cell>
        </row>
        <row r="69">
          <cell r="F69">
            <v>1200000</v>
          </cell>
        </row>
        <row r="70">
          <cell r="F70">
            <v>270</v>
          </cell>
        </row>
        <row r="73">
          <cell r="F73">
            <v>2500000</v>
          </cell>
        </row>
        <row r="74">
          <cell r="F74">
            <v>2800</v>
          </cell>
        </row>
        <row r="75">
          <cell r="F75">
            <v>25000</v>
          </cell>
        </row>
        <row r="79">
          <cell r="F79">
            <v>3200000</v>
          </cell>
        </row>
        <row r="80">
          <cell r="F80">
            <v>15600000</v>
          </cell>
        </row>
        <row r="81">
          <cell r="F81">
            <v>900</v>
          </cell>
        </row>
        <row r="85">
          <cell r="F85">
            <v>100000000</v>
          </cell>
        </row>
        <row r="87">
          <cell r="F87">
            <v>35000000</v>
          </cell>
        </row>
      </sheetData>
      <sheetData sheetId="7" refreshError="1"/>
      <sheetData sheetId="8">
        <row r="12">
          <cell r="F12">
            <v>34800000</v>
          </cell>
        </row>
        <row r="13">
          <cell r="F13">
            <v>31320000</v>
          </cell>
        </row>
        <row r="14">
          <cell r="F14">
            <v>7888000</v>
          </cell>
        </row>
        <row r="15">
          <cell r="F15">
            <v>9280000</v>
          </cell>
        </row>
        <row r="16">
          <cell r="F16">
            <v>87000000</v>
          </cell>
        </row>
        <row r="17">
          <cell r="F17">
            <v>29000000</v>
          </cell>
        </row>
        <row r="18">
          <cell r="F18">
            <v>17400000</v>
          </cell>
        </row>
        <row r="19">
          <cell r="F19">
            <v>14160000</v>
          </cell>
        </row>
        <row r="21">
          <cell r="F21">
            <v>348000</v>
          </cell>
        </row>
        <row r="31">
          <cell r="F31">
            <v>796700</v>
          </cell>
        </row>
        <row r="32">
          <cell r="F32">
            <v>134.6</v>
          </cell>
        </row>
        <row r="33">
          <cell r="F33">
            <v>1849483</v>
          </cell>
        </row>
        <row r="34">
          <cell r="F34">
            <v>1223504</v>
          </cell>
        </row>
        <row r="35">
          <cell r="F35">
            <v>910514</v>
          </cell>
        </row>
        <row r="36">
          <cell r="F36">
            <v>1327835</v>
          </cell>
        </row>
        <row r="37">
          <cell r="F37">
            <v>169.36</v>
          </cell>
        </row>
        <row r="38">
          <cell r="F38">
            <v>1991753</v>
          </cell>
        </row>
        <row r="39">
          <cell r="F39">
            <v>563.76</v>
          </cell>
        </row>
        <row r="40">
          <cell r="F40">
            <v>2655671</v>
          </cell>
        </row>
        <row r="41">
          <cell r="F41">
            <v>350.32</v>
          </cell>
        </row>
        <row r="42">
          <cell r="F42">
            <v>1102</v>
          </cell>
        </row>
        <row r="43">
          <cell r="F43">
            <v>643886</v>
          </cell>
        </row>
        <row r="44">
          <cell r="F44">
            <v>368000</v>
          </cell>
        </row>
        <row r="45">
          <cell r="F45">
            <v>13200</v>
          </cell>
        </row>
        <row r="46">
          <cell r="F46">
            <v>5121648</v>
          </cell>
        </row>
        <row r="47">
          <cell r="F47">
            <v>2062.5</v>
          </cell>
        </row>
        <row r="48">
          <cell r="F48">
            <v>466639</v>
          </cell>
        </row>
        <row r="49">
          <cell r="F49">
            <v>191400</v>
          </cell>
        </row>
        <row r="50">
          <cell r="F50">
            <v>466639</v>
          </cell>
        </row>
        <row r="51">
          <cell r="F51">
            <v>425000</v>
          </cell>
        </row>
        <row r="52">
          <cell r="F52">
            <v>466639</v>
          </cell>
        </row>
        <row r="53">
          <cell r="F53">
            <v>87000</v>
          </cell>
        </row>
        <row r="54">
          <cell r="F54">
            <v>466639</v>
          </cell>
        </row>
        <row r="55">
          <cell r="F55">
            <v>174000</v>
          </cell>
        </row>
        <row r="56">
          <cell r="F56">
            <v>1079340</v>
          </cell>
        </row>
        <row r="57">
          <cell r="F57">
            <v>261000</v>
          </cell>
        </row>
        <row r="58">
          <cell r="F58">
            <v>1079340</v>
          </cell>
        </row>
        <row r="59">
          <cell r="F59">
            <v>174000</v>
          </cell>
        </row>
        <row r="60">
          <cell r="F60">
            <v>1079340</v>
          </cell>
        </row>
        <row r="61">
          <cell r="F61">
            <v>522000</v>
          </cell>
        </row>
        <row r="67">
          <cell r="F67">
            <v>4060</v>
          </cell>
        </row>
        <row r="69">
          <cell r="F69">
            <v>663917</v>
          </cell>
        </row>
        <row r="70">
          <cell r="F70">
            <v>223.88</v>
          </cell>
        </row>
        <row r="73">
          <cell r="F73">
            <v>360413</v>
          </cell>
        </row>
        <row r="74">
          <cell r="F74">
            <v>266.8</v>
          </cell>
        </row>
        <row r="75">
          <cell r="F75">
            <v>19662</v>
          </cell>
        </row>
        <row r="79">
          <cell r="F79">
            <v>35000000</v>
          </cell>
        </row>
        <row r="80">
          <cell r="F80">
            <v>235000000</v>
          </cell>
        </row>
        <row r="81">
          <cell r="F81">
            <v>500</v>
          </cell>
        </row>
        <row r="85">
          <cell r="F85">
            <v>96000000</v>
          </cell>
        </row>
        <row r="87">
          <cell r="F87">
            <v>11210000</v>
          </cell>
        </row>
      </sheetData>
      <sheetData sheetId="9">
        <row r="12">
          <cell r="F12">
            <v>14000000</v>
          </cell>
        </row>
        <row r="13">
          <cell r="F13">
            <v>12600000</v>
          </cell>
        </row>
        <row r="14">
          <cell r="F14">
            <v>15400000</v>
          </cell>
        </row>
        <row r="15">
          <cell r="F15">
            <v>18200000</v>
          </cell>
        </row>
        <row r="16">
          <cell r="F16">
            <v>23800000</v>
          </cell>
        </row>
        <row r="17">
          <cell r="F17">
            <v>26600000</v>
          </cell>
        </row>
        <row r="18">
          <cell r="F18">
            <v>4384800</v>
          </cell>
        </row>
        <row r="19">
          <cell r="F19">
            <v>8769600</v>
          </cell>
        </row>
        <row r="21">
          <cell r="F21">
            <v>252000</v>
          </cell>
        </row>
        <row r="31">
          <cell r="F31">
            <v>65650</v>
          </cell>
        </row>
        <row r="32">
          <cell r="F32">
            <v>137</v>
          </cell>
        </row>
        <row r="33">
          <cell r="F33">
            <v>814000</v>
          </cell>
        </row>
        <row r="34">
          <cell r="F34">
            <v>570500</v>
          </cell>
        </row>
        <row r="35">
          <cell r="F35">
            <v>360000</v>
          </cell>
        </row>
        <row r="36">
          <cell r="F36">
            <v>328900</v>
          </cell>
        </row>
        <row r="37">
          <cell r="F37">
            <v>218</v>
          </cell>
        </row>
        <row r="38">
          <cell r="F38">
            <v>575900</v>
          </cell>
        </row>
        <row r="39">
          <cell r="F39">
            <v>267</v>
          </cell>
        </row>
        <row r="40">
          <cell r="F40">
            <v>850000</v>
          </cell>
        </row>
        <row r="41">
          <cell r="F41">
            <v>270</v>
          </cell>
        </row>
        <row r="42">
          <cell r="F42">
            <v>1160</v>
          </cell>
        </row>
        <row r="43">
          <cell r="F43">
            <v>147500</v>
          </cell>
        </row>
        <row r="44">
          <cell r="F44">
            <v>226900</v>
          </cell>
        </row>
        <row r="45">
          <cell r="F45">
            <v>12700</v>
          </cell>
        </row>
        <row r="46">
          <cell r="F46">
            <v>415090</v>
          </cell>
        </row>
        <row r="47">
          <cell r="F47">
            <v>11050</v>
          </cell>
        </row>
        <row r="48">
          <cell r="F48">
            <v>355000</v>
          </cell>
        </row>
        <row r="49">
          <cell r="F49">
            <v>252000</v>
          </cell>
        </row>
        <row r="50">
          <cell r="F50">
            <v>161995</v>
          </cell>
        </row>
        <row r="51">
          <cell r="F51">
            <v>973000</v>
          </cell>
        </row>
        <row r="52">
          <cell r="F52">
            <v>511980</v>
          </cell>
        </row>
        <row r="53">
          <cell r="F53">
            <v>1540000</v>
          </cell>
        </row>
        <row r="54">
          <cell r="F54">
            <v>511980</v>
          </cell>
        </row>
        <row r="55">
          <cell r="F55">
            <v>1750000</v>
          </cell>
        </row>
        <row r="56">
          <cell r="F56">
            <v>675780</v>
          </cell>
        </row>
        <row r="57">
          <cell r="F57">
            <v>2380000</v>
          </cell>
        </row>
        <row r="58">
          <cell r="F58">
            <v>675780</v>
          </cell>
        </row>
        <row r="59">
          <cell r="F59">
            <v>4480000</v>
          </cell>
        </row>
        <row r="60">
          <cell r="F60">
            <v>675780</v>
          </cell>
        </row>
        <row r="61">
          <cell r="F61">
            <v>4760000</v>
          </cell>
        </row>
        <row r="67">
          <cell r="F67">
            <v>4900</v>
          </cell>
        </row>
        <row r="69">
          <cell r="F69">
            <v>476050</v>
          </cell>
        </row>
        <row r="70">
          <cell r="F70">
            <v>605</v>
          </cell>
        </row>
        <row r="73">
          <cell r="F73">
            <v>760725</v>
          </cell>
        </row>
        <row r="74">
          <cell r="F74">
            <v>372</v>
          </cell>
        </row>
        <row r="75">
          <cell r="F75">
            <v>31850</v>
          </cell>
        </row>
        <row r="79">
          <cell r="F79">
            <v>21890000</v>
          </cell>
        </row>
        <row r="80">
          <cell r="F80">
            <v>49000000</v>
          </cell>
        </row>
        <row r="81">
          <cell r="F81">
            <v>3000</v>
          </cell>
        </row>
        <row r="85">
          <cell r="F85">
            <v>95500000</v>
          </cell>
        </row>
        <row r="87">
          <cell r="F87">
            <v>8690000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1.bin"/></Relationships>
</file>

<file path=xl/worksheets/_rels/sheet18.xml.rels><?xml version="1.0" encoding="UTF-8" standalone="yes"?>
<Relationships xmlns="http://schemas.openxmlformats.org/package/2006/relationships"><Relationship Id="rId2" Type="http://schemas.openxmlformats.org/officeDocument/2006/relationships/hyperlink" Target="../../../../../../../../../mmendez/Downloads/DA_PROCESO_14-13-2574065_133001000_10186573.pdf" TargetMode="External"/><Relationship Id="rId1" Type="http://schemas.openxmlformats.org/officeDocument/2006/relationships/hyperlink" Target="../../../../../../../../../mmendez/Downloads/DA_PROCESO_12-13-1208708_225000001_5511867.pdf" TargetMode="External"/></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8" Type="http://schemas.openxmlformats.org/officeDocument/2006/relationships/printerSettings" Target="../printerSettings/printerSettings13.bin"/><Relationship Id="rId3" Type="http://schemas.openxmlformats.org/officeDocument/2006/relationships/hyperlink" Target="https://www.contratos.gov.co/consultas/detalleProceso.do?numConstancia=14-1-116903" TargetMode="External"/><Relationship Id="rId7" Type="http://schemas.openxmlformats.org/officeDocument/2006/relationships/hyperlink" Target="https://www.contratos.gov.co/consultas/detalleProceso.do?numConstancia=15-1-136964" TargetMode="External"/><Relationship Id="rId2" Type="http://schemas.openxmlformats.org/officeDocument/2006/relationships/hyperlink" Target="https://www.contratos.gov.co/consultas/detalleProceso.do?numConstancia=15-1-136712" TargetMode="External"/><Relationship Id="rId1" Type="http://schemas.openxmlformats.org/officeDocument/2006/relationships/hyperlink" Target="../../../../../../../../../dbuitrago/Downloads/DA_PROCESO_15-11-4212798_01002025_16217272.pdf" TargetMode="External"/><Relationship Id="rId6" Type="http://schemas.openxmlformats.org/officeDocument/2006/relationships/hyperlink" Target="https://www.contratos.gov.co/consultas/detalleProceso.do?numConstancia=14-1-114899" TargetMode="External"/><Relationship Id="rId5" Type="http://schemas.openxmlformats.org/officeDocument/2006/relationships/hyperlink" Target="https://www.contratos.gov.co/consultas/detalleProceso.do?numConstancia=15-11-4413173" TargetMode="External"/><Relationship Id="rId4" Type="http://schemas.openxmlformats.org/officeDocument/2006/relationships/hyperlink" Target="https://www.contratos.gov.co/consultas/detalleProceso.do?numConstancia=14-1-116903"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V64"/>
  <sheetViews>
    <sheetView zoomScale="70" zoomScaleNormal="70" zoomScalePageLayoutView="70" workbookViewId="0">
      <pane ySplit="9" topLeftCell="A49" activePane="bottomLeft" state="frozen"/>
      <selection pane="bottomLeft" activeCell="S7" sqref="S7:S9"/>
    </sheetView>
  </sheetViews>
  <sheetFormatPr baseColWidth="10" defaultColWidth="11.42578125" defaultRowHeight="15" x14ac:dyDescent="0.25"/>
  <cols>
    <col min="1" max="1" width="5.140625" style="1" customWidth="1"/>
    <col min="2" max="2" width="23.7109375" style="1" hidden="1" customWidth="1"/>
    <col min="3" max="3" width="11" style="4" customWidth="1"/>
    <col min="4" max="4" width="65.28515625" style="6" customWidth="1"/>
    <col min="5" max="5" width="6.85546875" style="18" customWidth="1"/>
    <col min="6" max="6" width="9.140625" style="2" customWidth="1"/>
    <col min="7" max="7" width="13.7109375" style="12" customWidth="1"/>
    <col min="8" max="8" width="12" style="12" customWidth="1"/>
    <col min="9" max="9" width="14.42578125" style="12" customWidth="1"/>
    <col min="10" max="10" width="19.7109375" style="12" bestFit="1" customWidth="1"/>
    <col min="11" max="11" width="12" style="1" customWidth="1"/>
    <col min="12" max="12" width="12.140625" style="1" customWidth="1"/>
    <col min="13" max="13" width="14.42578125" style="1" customWidth="1"/>
    <col min="14" max="14" width="19.7109375" style="1" bestFit="1" customWidth="1"/>
    <col min="15" max="15" width="15.85546875" style="1" customWidth="1"/>
    <col min="16" max="16" width="14" style="1" customWidth="1"/>
    <col min="17" max="17" width="16.28515625" style="1" customWidth="1"/>
    <col min="18" max="18" width="19.7109375" style="1" bestFit="1" customWidth="1"/>
    <col min="19" max="19" width="17" style="1" customWidth="1"/>
    <col min="20" max="20" width="16.140625" style="1" customWidth="1"/>
    <col min="21" max="21" width="6" style="91" customWidth="1"/>
    <col min="22" max="22" width="21.42578125" style="1" customWidth="1"/>
    <col min="23" max="16384" width="11.42578125" style="1"/>
  </cols>
  <sheetData>
    <row r="4" spans="1:22" s="5" customFormat="1" ht="23.25" customHeight="1" x14ac:dyDescent="0.35">
      <c r="A4" s="522" t="s">
        <v>45</v>
      </c>
      <c r="B4" s="522"/>
      <c r="C4" s="522"/>
      <c r="D4" s="522"/>
      <c r="E4" s="522"/>
      <c r="F4" s="522"/>
      <c r="G4" s="522"/>
      <c r="H4" s="522"/>
      <c r="I4" s="522"/>
      <c r="J4" s="522"/>
      <c r="K4" s="522"/>
      <c r="L4" s="522"/>
      <c r="M4" s="522"/>
      <c r="N4" s="522"/>
      <c r="O4" s="522"/>
      <c r="P4" s="522"/>
      <c r="Q4" s="522"/>
      <c r="R4" s="522"/>
      <c r="S4" s="522"/>
      <c r="T4" s="522"/>
      <c r="U4" s="522"/>
      <c r="V4" s="522"/>
    </row>
    <row r="5" spans="1:22" s="5" customFormat="1" ht="18.75" customHeight="1" x14ac:dyDescent="0.25">
      <c r="U5" s="90"/>
    </row>
    <row r="6" spans="1:22" s="5" customFormat="1" ht="16.5" thickBot="1" x14ac:dyDescent="0.3">
      <c r="A6" s="8"/>
      <c r="B6" s="8"/>
      <c r="C6" s="8"/>
      <c r="D6" s="8"/>
      <c r="E6" s="22"/>
      <c r="F6" s="8"/>
      <c r="G6" s="13"/>
      <c r="H6" s="13"/>
      <c r="I6" s="13"/>
      <c r="J6" s="13"/>
      <c r="U6" s="90"/>
    </row>
    <row r="7" spans="1:22" ht="21.75" thickBot="1" x14ac:dyDescent="0.4">
      <c r="E7" s="41"/>
      <c r="F7" s="45"/>
      <c r="G7" s="532" t="s">
        <v>57</v>
      </c>
      <c r="H7" s="533"/>
      <c r="I7" s="533"/>
      <c r="J7" s="534"/>
      <c r="K7" s="535" t="s">
        <v>58</v>
      </c>
      <c r="L7" s="536"/>
      <c r="M7" s="536"/>
      <c r="N7" s="537"/>
      <c r="O7" s="523" t="s">
        <v>59</v>
      </c>
      <c r="P7" s="524"/>
      <c r="Q7" s="524"/>
      <c r="R7" s="524"/>
      <c r="S7" s="503" t="s">
        <v>60</v>
      </c>
      <c r="T7" s="503" t="s">
        <v>42</v>
      </c>
      <c r="U7" s="512" t="s">
        <v>43</v>
      </c>
      <c r="V7" s="503" t="s">
        <v>44</v>
      </c>
    </row>
    <row r="8" spans="1:22" s="5" customFormat="1" ht="15" customHeight="1" x14ac:dyDescent="0.25">
      <c r="A8" s="451" t="s">
        <v>0</v>
      </c>
      <c r="B8" s="451" t="s">
        <v>24</v>
      </c>
      <c r="C8" s="451" t="s">
        <v>1</v>
      </c>
      <c r="D8" s="451" t="s">
        <v>8</v>
      </c>
      <c r="E8" s="451" t="s">
        <v>12</v>
      </c>
      <c r="F8" s="482" t="s">
        <v>13</v>
      </c>
      <c r="G8" s="488" t="s">
        <v>2</v>
      </c>
      <c r="H8" s="486" t="s">
        <v>11</v>
      </c>
      <c r="I8" s="478" t="s">
        <v>39</v>
      </c>
      <c r="J8" s="484" t="s">
        <v>40</v>
      </c>
      <c r="K8" s="480" t="s">
        <v>2</v>
      </c>
      <c r="L8" s="476" t="s">
        <v>11</v>
      </c>
      <c r="M8" s="464" t="s">
        <v>39</v>
      </c>
      <c r="N8" s="465" t="s">
        <v>40</v>
      </c>
      <c r="O8" s="525" t="s">
        <v>2</v>
      </c>
      <c r="P8" s="527" t="s">
        <v>11</v>
      </c>
      <c r="Q8" s="529" t="s">
        <v>39</v>
      </c>
      <c r="R8" s="530" t="s">
        <v>40</v>
      </c>
      <c r="S8" s="504"/>
      <c r="T8" s="504"/>
      <c r="U8" s="513"/>
      <c r="V8" s="504"/>
    </row>
    <row r="9" spans="1:22" s="5" customFormat="1" ht="48" customHeight="1" thickBot="1" x14ac:dyDescent="0.3">
      <c r="A9" s="452"/>
      <c r="B9" s="452"/>
      <c r="C9" s="452"/>
      <c r="D9" s="452"/>
      <c r="E9" s="452"/>
      <c r="F9" s="483"/>
      <c r="G9" s="489"/>
      <c r="H9" s="487"/>
      <c r="I9" s="479"/>
      <c r="J9" s="485"/>
      <c r="K9" s="481"/>
      <c r="L9" s="477"/>
      <c r="M9" s="464"/>
      <c r="N9" s="466"/>
      <c r="O9" s="526"/>
      <c r="P9" s="528"/>
      <c r="Q9" s="529"/>
      <c r="R9" s="531"/>
      <c r="S9" s="505"/>
      <c r="T9" s="505"/>
      <c r="U9" s="514"/>
      <c r="V9" s="505"/>
    </row>
    <row r="10" spans="1:22" ht="45" x14ac:dyDescent="0.25">
      <c r="A10" s="453">
        <v>1</v>
      </c>
      <c r="B10" s="456"/>
      <c r="C10" s="456" t="s">
        <v>17</v>
      </c>
      <c r="D10" s="23" t="s">
        <v>3</v>
      </c>
      <c r="E10" s="24">
        <v>1</v>
      </c>
      <c r="F10" s="46">
        <v>1</v>
      </c>
      <c r="G10" s="52">
        <v>5415022.820453315</v>
      </c>
      <c r="H10" s="42">
        <f>+G10*16%</f>
        <v>866403.65127253043</v>
      </c>
      <c r="I10" s="42">
        <f>+H10+G10</f>
        <v>6281426.4717258457</v>
      </c>
      <c r="J10" s="59">
        <f>+I10*F10*E10</f>
        <v>6281426.4717258457</v>
      </c>
      <c r="K10" s="52">
        <v>660000</v>
      </c>
      <c r="L10" s="26">
        <f>+K10*16%</f>
        <v>105600</v>
      </c>
      <c r="M10" s="26">
        <f>+L10+K10</f>
        <v>765600</v>
      </c>
      <c r="N10" s="63">
        <f>+M10*E10*F10</f>
        <v>765600</v>
      </c>
      <c r="O10" s="52">
        <v>500000</v>
      </c>
      <c r="P10" s="26">
        <f>+O10*16%</f>
        <v>80000</v>
      </c>
      <c r="Q10" s="26">
        <f>+P10+O10</f>
        <v>580000</v>
      </c>
      <c r="R10" s="63">
        <f>+Q10*F10*E10</f>
        <v>580000</v>
      </c>
      <c r="S10" s="84">
        <f>AVERAGE(N10,R10)</f>
        <v>672800</v>
      </c>
      <c r="T10" s="506">
        <f>SUM(S10:S20)</f>
        <v>74511092</v>
      </c>
      <c r="U10" s="515">
        <v>1</v>
      </c>
      <c r="V10" s="506">
        <f>+U10*T10</f>
        <v>74511092</v>
      </c>
    </row>
    <row r="11" spans="1:22" ht="90" customHeight="1" x14ac:dyDescent="0.25">
      <c r="A11" s="454"/>
      <c r="B11" s="457"/>
      <c r="C11" s="457"/>
      <c r="D11" s="27" t="s">
        <v>20</v>
      </c>
      <c r="E11" s="28">
        <v>5</v>
      </c>
      <c r="F11" s="47">
        <v>7</v>
      </c>
      <c r="G11" s="53">
        <v>1315076.9706815192</v>
      </c>
      <c r="H11" s="30">
        <f t="shared" ref="H11:H20" si="0">+G11*16%</f>
        <v>210412.31530904307</v>
      </c>
      <c r="I11" s="30">
        <f t="shared" ref="I11:I31" si="1">+H11+G11</f>
        <v>1525489.2859905623</v>
      </c>
      <c r="J11" s="60">
        <f t="shared" ref="J11:J31" si="2">+I11*F11*E11</f>
        <v>53392125.009669676</v>
      </c>
      <c r="K11" s="53">
        <v>350000</v>
      </c>
      <c r="L11" s="30">
        <f t="shared" ref="L11:L20" si="3">+K11*16%</f>
        <v>56000</v>
      </c>
      <c r="M11" s="30">
        <f t="shared" ref="M11:M31" si="4">+L11+K11</f>
        <v>406000</v>
      </c>
      <c r="N11" s="60">
        <f t="shared" ref="N11:N20" si="5">+M11*E11*F11</f>
        <v>14210000</v>
      </c>
      <c r="O11" s="53">
        <v>250000</v>
      </c>
      <c r="P11" s="30">
        <f t="shared" ref="P11:P20" si="6">+O11*16%</f>
        <v>40000</v>
      </c>
      <c r="Q11" s="30">
        <f t="shared" ref="Q11:Q31" si="7">+P11+O11</f>
        <v>290000</v>
      </c>
      <c r="R11" s="60">
        <f t="shared" ref="R11:R31" si="8">+Q11*F11*E11</f>
        <v>10150000</v>
      </c>
      <c r="S11" s="85">
        <f t="shared" ref="S11:S31" si="9">AVERAGE(N11,R11)</f>
        <v>12180000</v>
      </c>
      <c r="T11" s="507"/>
      <c r="U11" s="516"/>
      <c r="V11" s="507"/>
    </row>
    <row r="12" spans="1:22" ht="60" x14ac:dyDescent="0.25">
      <c r="A12" s="454"/>
      <c r="B12" s="457"/>
      <c r="C12" s="457"/>
      <c r="D12" s="31" t="s">
        <v>19</v>
      </c>
      <c r="E12" s="29">
        <v>5</v>
      </c>
      <c r="F12" s="47">
        <v>6</v>
      </c>
      <c r="G12" s="53">
        <v>409994.58497717953</v>
      </c>
      <c r="H12" s="30">
        <f t="shared" si="0"/>
        <v>65599.133596348722</v>
      </c>
      <c r="I12" s="30">
        <f t="shared" si="1"/>
        <v>475593.71857352823</v>
      </c>
      <c r="J12" s="60">
        <f t="shared" si="2"/>
        <v>14267811.557205845</v>
      </c>
      <c r="K12" s="53">
        <v>230000</v>
      </c>
      <c r="L12" s="30">
        <f t="shared" si="3"/>
        <v>36800</v>
      </c>
      <c r="M12" s="30">
        <f t="shared" si="4"/>
        <v>266800</v>
      </c>
      <c r="N12" s="60">
        <f t="shared" si="5"/>
        <v>8004000</v>
      </c>
      <c r="O12" s="53">
        <v>220000</v>
      </c>
      <c r="P12" s="30">
        <f t="shared" si="6"/>
        <v>35200</v>
      </c>
      <c r="Q12" s="30">
        <f t="shared" si="7"/>
        <v>255200</v>
      </c>
      <c r="R12" s="60">
        <f t="shared" si="8"/>
        <v>7656000</v>
      </c>
      <c r="S12" s="85">
        <f t="shared" si="9"/>
        <v>7830000</v>
      </c>
      <c r="T12" s="507"/>
      <c r="U12" s="516"/>
      <c r="V12" s="507"/>
    </row>
    <row r="13" spans="1:22" ht="90" x14ac:dyDescent="0.25">
      <c r="A13" s="454"/>
      <c r="B13" s="457"/>
      <c r="C13" s="457"/>
      <c r="D13" s="31" t="s">
        <v>18</v>
      </c>
      <c r="E13" s="29">
        <v>5</v>
      </c>
      <c r="F13" s="47">
        <v>7</v>
      </c>
      <c r="G13" s="53">
        <v>232072.40659085635</v>
      </c>
      <c r="H13" s="30">
        <f t="shared" si="0"/>
        <v>37131.585054537019</v>
      </c>
      <c r="I13" s="30">
        <f t="shared" si="1"/>
        <v>269203.99164539337</v>
      </c>
      <c r="J13" s="60">
        <f t="shared" si="2"/>
        <v>9422139.7075887676</v>
      </c>
      <c r="K13" s="53">
        <v>150000</v>
      </c>
      <c r="L13" s="30">
        <f t="shared" si="3"/>
        <v>24000</v>
      </c>
      <c r="M13" s="30">
        <f t="shared" si="4"/>
        <v>174000</v>
      </c>
      <c r="N13" s="60">
        <f t="shared" si="5"/>
        <v>6090000</v>
      </c>
      <c r="O13" s="53">
        <v>120000</v>
      </c>
      <c r="P13" s="30">
        <f t="shared" si="6"/>
        <v>19200</v>
      </c>
      <c r="Q13" s="30">
        <f t="shared" si="7"/>
        <v>139200</v>
      </c>
      <c r="R13" s="60">
        <f t="shared" si="8"/>
        <v>4872000</v>
      </c>
      <c r="S13" s="85">
        <f t="shared" si="9"/>
        <v>5481000</v>
      </c>
      <c r="T13" s="507"/>
      <c r="U13" s="516"/>
      <c r="V13" s="507"/>
    </row>
    <row r="14" spans="1:22" ht="75" x14ac:dyDescent="0.25">
      <c r="A14" s="454"/>
      <c r="B14" s="457"/>
      <c r="C14" s="457"/>
      <c r="D14" s="32" t="s">
        <v>21</v>
      </c>
      <c r="E14" s="28">
        <v>5</v>
      </c>
      <c r="F14" s="47">
        <v>6</v>
      </c>
      <c r="G14" s="53">
        <v>123771.95018179006</v>
      </c>
      <c r="H14" s="30">
        <f t="shared" si="0"/>
        <v>19803.512029086411</v>
      </c>
      <c r="I14" s="30">
        <f t="shared" si="1"/>
        <v>143575.46221087646</v>
      </c>
      <c r="J14" s="60">
        <f t="shared" si="2"/>
        <v>4307263.8663262939</v>
      </c>
      <c r="K14" s="53">
        <v>80000</v>
      </c>
      <c r="L14" s="30">
        <f t="shared" si="3"/>
        <v>12800</v>
      </c>
      <c r="M14" s="30">
        <f t="shared" si="4"/>
        <v>92800</v>
      </c>
      <c r="N14" s="60">
        <f t="shared" si="5"/>
        <v>2784000</v>
      </c>
      <c r="O14" s="53">
        <v>40000</v>
      </c>
      <c r="P14" s="30">
        <f t="shared" si="6"/>
        <v>6400</v>
      </c>
      <c r="Q14" s="30">
        <f t="shared" si="7"/>
        <v>46400</v>
      </c>
      <c r="R14" s="60">
        <f t="shared" si="8"/>
        <v>1392000</v>
      </c>
      <c r="S14" s="85">
        <f t="shared" si="9"/>
        <v>2088000</v>
      </c>
      <c r="T14" s="507"/>
      <c r="U14" s="516"/>
      <c r="V14" s="507"/>
    </row>
    <row r="15" spans="1:22" ht="75" x14ac:dyDescent="0.25">
      <c r="A15" s="454"/>
      <c r="B15" s="457"/>
      <c r="C15" s="457"/>
      <c r="D15" s="33" t="s">
        <v>38</v>
      </c>
      <c r="E15" s="28">
        <v>5</v>
      </c>
      <c r="F15" s="47">
        <v>200</v>
      </c>
      <c r="G15" s="53">
        <v>20112.941904540883</v>
      </c>
      <c r="H15" s="30">
        <f t="shared" si="0"/>
        <v>3218.0707047265414</v>
      </c>
      <c r="I15" s="30">
        <f t="shared" si="1"/>
        <v>23331.012609267425</v>
      </c>
      <c r="J15" s="60">
        <f t="shared" si="2"/>
        <v>23331012.609267425</v>
      </c>
      <c r="K15" s="53">
        <v>22000</v>
      </c>
      <c r="L15" s="30">
        <f t="shared" si="3"/>
        <v>3520</v>
      </c>
      <c r="M15" s="30">
        <f t="shared" si="4"/>
        <v>25520</v>
      </c>
      <c r="N15" s="60">
        <f t="shared" si="5"/>
        <v>25520000</v>
      </c>
      <c r="O15" s="53">
        <v>13500</v>
      </c>
      <c r="P15" s="30">
        <f t="shared" si="6"/>
        <v>2160</v>
      </c>
      <c r="Q15" s="30">
        <f t="shared" si="7"/>
        <v>15660</v>
      </c>
      <c r="R15" s="60">
        <f t="shared" si="8"/>
        <v>15660000</v>
      </c>
      <c r="S15" s="85">
        <f t="shared" si="9"/>
        <v>20590000</v>
      </c>
      <c r="T15" s="507"/>
      <c r="U15" s="516"/>
      <c r="V15" s="507"/>
    </row>
    <row r="16" spans="1:22" ht="150" x14ac:dyDescent="0.25">
      <c r="A16" s="454"/>
      <c r="B16" s="457"/>
      <c r="C16" s="457"/>
      <c r="D16" s="27" t="s">
        <v>36</v>
      </c>
      <c r="E16" s="28">
        <v>5</v>
      </c>
      <c r="F16" s="47">
        <v>100</v>
      </c>
      <c r="G16" s="53">
        <v>92828.962636342549</v>
      </c>
      <c r="H16" s="30">
        <f t="shared" si="0"/>
        <v>14852.634021814809</v>
      </c>
      <c r="I16" s="30">
        <f t="shared" si="1"/>
        <v>107681.59665815736</v>
      </c>
      <c r="J16" s="60">
        <f t="shared" si="2"/>
        <v>53840798.329078674</v>
      </c>
      <c r="K16" s="53">
        <v>48000</v>
      </c>
      <c r="L16" s="30">
        <f t="shared" si="3"/>
        <v>7680</v>
      </c>
      <c r="M16" s="30">
        <f t="shared" si="4"/>
        <v>55680</v>
      </c>
      <c r="N16" s="60">
        <f t="shared" si="5"/>
        <v>27840000</v>
      </c>
      <c r="O16" s="53">
        <v>35000</v>
      </c>
      <c r="P16" s="30">
        <f t="shared" si="6"/>
        <v>5600</v>
      </c>
      <c r="Q16" s="30">
        <f t="shared" si="7"/>
        <v>40600</v>
      </c>
      <c r="R16" s="60">
        <f t="shared" si="8"/>
        <v>20300000</v>
      </c>
      <c r="S16" s="85">
        <f t="shared" si="9"/>
        <v>24070000</v>
      </c>
      <c r="T16" s="507"/>
      <c r="U16" s="516"/>
      <c r="V16" s="507"/>
    </row>
    <row r="17" spans="1:22" ht="30" x14ac:dyDescent="0.25">
      <c r="A17" s="454"/>
      <c r="B17" s="457"/>
      <c r="C17" s="457"/>
      <c r="D17" s="34" t="s">
        <v>4</v>
      </c>
      <c r="E17" s="29">
        <v>1</v>
      </c>
      <c r="F17" s="47">
        <v>1</v>
      </c>
      <c r="G17" s="53">
        <v>541502.28204533155</v>
      </c>
      <c r="H17" s="30">
        <f t="shared" si="0"/>
        <v>86640.365127253055</v>
      </c>
      <c r="I17" s="30">
        <f t="shared" si="1"/>
        <v>628142.64717258466</v>
      </c>
      <c r="J17" s="60">
        <f t="shared" si="2"/>
        <v>628142.64717258466</v>
      </c>
      <c r="K17" s="53">
        <v>300000</v>
      </c>
      <c r="L17" s="30">
        <f t="shared" si="3"/>
        <v>48000</v>
      </c>
      <c r="M17" s="30">
        <f t="shared" si="4"/>
        <v>348000</v>
      </c>
      <c r="N17" s="60">
        <f t="shared" si="5"/>
        <v>348000</v>
      </c>
      <c r="O17" s="53">
        <v>230000</v>
      </c>
      <c r="P17" s="30">
        <f t="shared" si="6"/>
        <v>36800</v>
      </c>
      <c r="Q17" s="30">
        <f t="shared" si="7"/>
        <v>266800</v>
      </c>
      <c r="R17" s="60">
        <f t="shared" si="8"/>
        <v>266800</v>
      </c>
      <c r="S17" s="85">
        <f t="shared" si="9"/>
        <v>307400</v>
      </c>
      <c r="T17" s="507"/>
      <c r="U17" s="516"/>
      <c r="V17" s="507"/>
    </row>
    <row r="18" spans="1:22" ht="15" customHeight="1" x14ac:dyDescent="0.25">
      <c r="A18" s="454"/>
      <c r="B18" s="457"/>
      <c r="C18" s="457"/>
      <c r="D18" s="32" t="s">
        <v>5</v>
      </c>
      <c r="E18" s="28">
        <v>1</v>
      </c>
      <c r="F18" s="47">
        <v>1</v>
      </c>
      <c r="G18" s="53">
        <v>116036.20329542817</v>
      </c>
      <c r="H18" s="30">
        <f t="shared" si="0"/>
        <v>18565.79252726851</v>
      </c>
      <c r="I18" s="30">
        <f t="shared" si="1"/>
        <v>134601.99582269668</v>
      </c>
      <c r="J18" s="60">
        <f t="shared" si="2"/>
        <v>134601.99582269668</v>
      </c>
      <c r="K18" s="53">
        <v>80000</v>
      </c>
      <c r="L18" s="30">
        <f t="shared" si="3"/>
        <v>12800</v>
      </c>
      <c r="M18" s="30">
        <f t="shared" si="4"/>
        <v>92800</v>
      </c>
      <c r="N18" s="60">
        <f t="shared" si="5"/>
        <v>92800</v>
      </c>
      <c r="O18" s="53">
        <v>70000</v>
      </c>
      <c r="P18" s="30">
        <f t="shared" si="6"/>
        <v>11200</v>
      </c>
      <c r="Q18" s="30">
        <f t="shared" si="7"/>
        <v>81200</v>
      </c>
      <c r="R18" s="60">
        <f t="shared" si="8"/>
        <v>81200</v>
      </c>
      <c r="S18" s="85">
        <f t="shared" si="9"/>
        <v>87000</v>
      </c>
      <c r="T18" s="507"/>
      <c r="U18" s="516"/>
      <c r="V18" s="507"/>
    </row>
    <row r="19" spans="1:22" ht="90" x14ac:dyDescent="0.25">
      <c r="A19" s="454"/>
      <c r="B19" s="457"/>
      <c r="C19" s="457"/>
      <c r="D19" s="32" t="s">
        <v>6</v>
      </c>
      <c r="E19" s="28">
        <v>1</v>
      </c>
      <c r="F19" s="47">
        <v>100</v>
      </c>
      <c r="G19" s="53">
        <v>11603.620329542819</v>
      </c>
      <c r="H19" s="30">
        <f t="shared" si="0"/>
        <v>1856.5792527268511</v>
      </c>
      <c r="I19" s="30">
        <f t="shared" si="1"/>
        <v>13460.19958226967</v>
      </c>
      <c r="J19" s="60">
        <f t="shared" si="2"/>
        <v>1346019.9582269669</v>
      </c>
      <c r="K19" s="53">
        <v>4800</v>
      </c>
      <c r="L19" s="30">
        <f t="shared" si="3"/>
        <v>768</v>
      </c>
      <c r="M19" s="30">
        <f t="shared" si="4"/>
        <v>5568</v>
      </c>
      <c r="N19" s="60">
        <f t="shared" si="5"/>
        <v>556800</v>
      </c>
      <c r="O19" s="53">
        <v>4500</v>
      </c>
      <c r="P19" s="30">
        <f t="shared" si="6"/>
        <v>720</v>
      </c>
      <c r="Q19" s="30">
        <f t="shared" si="7"/>
        <v>5220</v>
      </c>
      <c r="R19" s="60">
        <f t="shared" si="8"/>
        <v>522000</v>
      </c>
      <c r="S19" s="85">
        <f t="shared" si="9"/>
        <v>539400</v>
      </c>
      <c r="T19" s="507"/>
      <c r="U19" s="516"/>
      <c r="V19" s="507"/>
    </row>
    <row r="20" spans="1:22" ht="90.75" thickBot="1" x14ac:dyDescent="0.3">
      <c r="A20" s="455"/>
      <c r="B20" s="458"/>
      <c r="C20" s="458"/>
      <c r="D20" s="35" t="s">
        <v>14</v>
      </c>
      <c r="E20" s="36">
        <v>1</v>
      </c>
      <c r="F20" s="48">
        <v>1</v>
      </c>
      <c r="G20" s="54">
        <v>4641448.1318171266</v>
      </c>
      <c r="H20" s="44">
        <f t="shared" si="0"/>
        <v>742631.70109074027</v>
      </c>
      <c r="I20" s="44">
        <f t="shared" si="1"/>
        <v>5384079.8329078667</v>
      </c>
      <c r="J20" s="61">
        <f t="shared" si="2"/>
        <v>5384079.8329078667</v>
      </c>
      <c r="K20" s="62">
        <v>297400</v>
      </c>
      <c r="L20" s="43">
        <f t="shared" si="3"/>
        <v>47584</v>
      </c>
      <c r="M20" s="43">
        <f t="shared" si="4"/>
        <v>344984</v>
      </c>
      <c r="N20" s="75">
        <f t="shared" si="5"/>
        <v>344984</v>
      </c>
      <c r="O20" s="62">
        <v>850000</v>
      </c>
      <c r="P20" s="43">
        <f t="shared" si="6"/>
        <v>136000</v>
      </c>
      <c r="Q20" s="43">
        <f t="shared" si="7"/>
        <v>986000</v>
      </c>
      <c r="R20" s="75">
        <f t="shared" si="8"/>
        <v>986000</v>
      </c>
      <c r="S20" s="86">
        <f t="shared" si="9"/>
        <v>665492</v>
      </c>
      <c r="T20" s="508"/>
      <c r="U20" s="517"/>
      <c r="V20" s="508"/>
    </row>
    <row r="21" spans="1:22" s="39" customFormat="1" ht="45" customHeight="1" x14ac:dyDescent="0.25">
      <c r="A21" s="459">
        <v>2</v>
      </c>
      <c r="B21" s="460"/>
      <c r="C21" s="460" t="s">
        <v>22</v>
      </c>
      <c r="D21" s="14" t="s">
        <v>3</v>
      </c>
      <c r="E21" s="19">
        <v>1</v>
      </c>
      <c r="F21" s="49">
        <v>1</v>
      </c>
      <c r="G21" s="55">
        <v>5415022.820453315</v>
      </c>
      <c r="H21" s="15">
        <f>+G21*16%</f>
        <v>866403.65127253043</v>
      </c>
      <c r="I21" s="15">
        <f t="shared" si="1"/>
        <v>6281426.4717258457</v>
      </c>
      <c r="J21" s="65">
        <f t="shared" si="2"/>
        <v>6281426.4717258457</v>
      </c>
      <c r="K21" s="58">
        <v>660000</v>
      </c>
      <c r="L21" s="15">
        <f>+K21*16%</f>
        <v>105600</v>
      </c>
      <c r="M21" s="15">
        <f t="shared" si="4"/>
        <v>765600</v>
      </c>
      <c r="N21" s="65">
        <f>+M21*E21*F21</f>
        <v>765600</v>
      </c>
      <c r="O21" s="58">
        <v>500000</v>
      </c>
      <c r="P21" s="15">
        <f>+O21*16%</f>
        <v>80000</v>
      </c>
      <c r="Q21" s="15">
        <f t="shared" si="7"/>
        <v>580000</v>
      </c>
      <c r="R21" s="65">
        <f t="shared" si="8"/>
        <v>580000</v>
      </c>
      <c r="S21" s="83">
        <f t="shared" si="9"/>
        <v>672800</v>
      </c>
      <c r="T21" s="509">
        <f>SUM(S21:S31)</f>
        <v>74522692</v>
      </c>
      <c r="U21" s="518">
        <v>1</v>
      </c>
      <c r="V21" s="509">
        <f>+U21*T21</f>
        <v>74522692</v>
      </c>
    </row>
    <row r="22" spans="1:22" s="39" customFormat="1" ht="90" x14ac:dyDescent="0.25">
      <c r="A22" s="442"/>
      <c r="B22" s="445"/>
      <c r="C22" s="445"/>
      <c r="D22" s="7" t="s">
        <v>20</v>
      </c>
      <c r="E22" s="20">
        <v>5</v>
      </c>
      <c r="F22" s="50">
        <v>7</v>
      </c>
      <c r="G22" s="56">
        <v>1315076.9706815192</v>
      </c>
      <c r="H22" s="10">
        <f>+G22*16%</f>
        <v>210412.31530904307</v>
      </c>
      <c r="I22" s="10">
        <f t="shared" si="1"/>
        <v>1525489.2859905623</v>
      </c>
      <c r="J22" s="66">
        <f t="shared" si="2"/>
        <v>53392125.009669676</v>
      </c>
      <c r="K22" s="56">
        <v>350000</v>
      </c>
      <c r="L22" s="10">
        <f>+K22*16%</f>
        <v>56000</v>
      </c>
      <c r="M22" s="10">
        <f t="shared" si="4"/>
        <v>406000</v>
      </c>
      <c r="N22" s="66">
        <f t="shared" ref="N22:N31" si="10">+M22*E22*F22</f>
        <v>14210000</v>
      </c>
      <c r="O22" s="56">
        <v>250000</v>
      </c>
      <c r="P22" s="10">
        <f>+O22*16%</f>
        <v>40000</v>
      </c>
      <c r="Q22" s="10">
        <f t="shared" si="7"/>
        <v>290000</v>
      </c>
      <c r="R22" s="66">
        <f t="shared" si="8"/>
        <v>10150000</v>
      </c>
      <c r="S22" s="81">
        <f t="shared" si="9"/>
        <v>12180000</v>
      </c>
      <c r="T22" s="510"/>
      <c r="U22" s="519"/>
      <c r="V22" s="510"/>
    </row>
    <row r="23" spans="1:22" s="39" customFormat="1" ht="60" x14ac:dyDescent="0.25">
      <c r="A23" s="442"/>
      <c r="B23" s="445"/>
      <c r="C23" s="445"/>
      <c r="D23" s="3" t="s">
        <v>19</v>
      </c>
      <c r="E23" s="40">
        <v>5</v>
      </c>
      <c r="F23" s="50">
        <v>6</v>
      </c>
      <c r="G23" s="56">
        <v>409994.58497717953</v>
      </c>
      <c r="H23" s="10">
        <f t="shared" ref="H23:H31" si="11">+G23*16%</f>
        <v>65599.133596348722</v>
      </c>
      <c r="I23" s="10">
        <f t="shared" si="1"/>
        <v>475593.71857352823</v>
      </c>
      <c r="J23" s="66">
        <f t="shared" si="2"/>
        <v>14267811.557205845</v>
      </c>
      <c r="K23" s="56">
        <v>230000</v>
      </c>
      <c r="L23" s="10">
        <f t="shared" ref="L23:L31" si="12">+K23*16%</f>
        <v>36800</v>
      </c>
      <c r="M23" s="10">
        <f t="shared" si="4"/>
        <v>266800</v>
      </c>
      <c r="N23" s="66">
        <f t="shared" si="10"/>
        <v>8004000</v>
      </c>
      <c r="O23" s="56">
        <v>220000</v>
      </c>
      <c r="P23" s="10">
        <f t="shared" ref="P23:P31" si="13">+O23*16%</f>
        <v>35200</v>
      </c>
      <c r="Q23" s="10">
        <f t="shared" si="7"/>
        <v>255200</v>
      </c>
      <c r="R23" s="66">
        <f t="shared" si="8"/>
        <v>7656000</v>
      </c>
      <c r="S23" s="81">
        <f t="shared" si="9"/>
        <v>7830000</v>
      </c>
      <c r="T23" s="510"/>
      <c r="U23" s="519"/>
      <c r="V23" s="510"/>
    </row>
    <row r="24" spans="1:22" s="39" customFormat="1" ht="90" x14ac:dyDescent="0.25">
      <c r="A24" s="442"/>
      <c r="B24" s="445"/>
      <c r="C24" s="445"/>
      <c r="D24" s="3" t="s">
        <v>18</v>
      </c>
      <c r="E24" s="40">
        <v>5</v>
      </c>
      <c r="F24" s="50">
        <v>7</v>
      </c>
      <c r="G24" s="56">
        <v>232072.40659085635</v>
      </c>
      <c r="H24" s="10">
        <f t="shared" si="11"/>
        <v>37131.585054537019</v>
      </c>
      <c r="I24" s="10">
        <f t="shared" si="1"/>
        <v>269203.99164539337</v>
      </c>
      <c r="J24" s="66">
        <f t="shared" si="2"/>
        <v>9422139.7075887676</v>
      </c>
      <c r="K24" s="56">
        <v>150000</v>
      </c>
      <c r="L24" s="10">
        <f t="shared" si="12"/>
        <v>24000</v>
      </c>
      <c r="M24" s="10">
        <f t="shared" si="4"/>
        <v>174000</v>
      </c>
      <c r="N24" s="66">
        <f t="shared" si="10"/>
        <v>6090000</v>
      </c>
      <c r="O24" s="56">
        <v>120000</v>
      </c>
      <c r="P24" s="10">
        <f t="shared" si="13"/>
        <v>19200</v>
      </c>
      <c r="Q24" s="10">
        <f t="shared" si="7"/>
        <v>139200</v>
      </c>
      <c r="R24" s="66">
        <f t="shared" si="8"/>
        <v>4872000</v>
      </c>
      <c r="S24" s="81">
        <f t="shared" si="9"/>
        <v>5481000</v>
      </c>
      <c r="T24" s="510"/>
      <c r="U24" s="519"/>
      <c r="V24" s="510"/>
    </row>
    <row r="25" spans="1:22" s="39" customFormat="1" ht="75" x14ac:dyDescent="0.25">
      <c r="A25" s="442"/>
      <c r="B25" s="445"/>
      <c r="C25" s="445"/>
      <c r="D25" s="9" t="s">
        <v>21</v>
      </c>
      <c r="E25" s="20">
        <v>5</v>
      </c>
      <c r="F25" s="50">
        <v>6</v>
      </c>
      <c r="G25" s="56">
        <v>123771.95018179006</v>
      </c>
      <c r="H25" s="10">
        <f t="shared" si="11"/>
        <v>19803.512029086411</v>
      </c>
      <c r="I25" s="10">
        <f t="shared" si="1"/>
        <v>143575.46221087646</v>
      </c>
      <c r="J25" s="66">
        <f t="shared" si="2"/>
        <v>4307263.8663262939</v>
      </c>
      <c r="K25" s="56">
        <v>80000</v>
      </c>
      <c r="L25" s="10">
        <f t="shared" si="12"/>
        <v>12800</v>
      </c>
      <c r="M25" s="10">
        <f t="shared" si="4"/>
        <v>92800</v>
      </c>
      <c r="N25" s="66">
        <f t="shared" si="10"/>
        <v>2784000</v>
      </c>
      <c r="O25" s="56">
        <v>40000</v>
      </c>
      <c r="P25" s="10">
        <f t="shared" si="13"/>
        <v>6400</v>
      </c>
      <c r="Q25" s="10">
        <f t="shared" si="7"/>
        <v>46400</v>
      </c>
      <c r="R25" s="66">
        <f t="shared" si="8"/>
        <v>1392000</v>
      </c>
      <c r="S25" s="81">
        <f t="shared" si="9"/>
        <v>2088000</v>
      </c>
      <c r="T25" s="510"/>
      <c r="U25" s="519"/>
      <c r="V25" s="510"/>
    </row>
    <row r="26" spans="1:22" s="39" customFormat="1" ht="75" x14ac:dyDescent="0.25">
      <c r="A26" s="442"/>
      <c r="B26" s="445"/>
      <c r="C26" s="445"/>
      <c r="D26" s="95" t="s">
        <v>38</v>
      </c>
      <c r="E26" s="20">
        <v>5</v>
      </c>
      <c r="F26" s="50">
        <v>200</v>
      </c>
      <c r="G26" s="56">
        <v>20112.941904540883</v>
      </c>
      <c r="H26" s="10">
        <f t="shared" si="11"/>
        <v>3218.0707047265414</v>
      </c>
      <c r="I26" s="10">
        <f t="shared" si="1"/>
        <v>23331.012609267425</v>
      </c>
      <c r="J26" s="66">
        <f t="shared" si="2"/>
        <v>23331012.609267425</v>
      </c>
      <c r="K26" s="56">
        <v>22000</v>
      </c>
      <c r="L26" s="10">
        <f t="shared" si="12"/>
        <v>3520</v>
      </c>
      <c r="M26" s="10">
        <f t="shared" si="4"/>
        <v>25520</v>
      </c>
      <c r="N26" s="66">
        <f t="shared" si="10"/>
        <v>25520000</v>
      </c>
      <c r="O26" s="56">
        <v>13500</v>
      </c>
      <c r="P26" s="10">
        <f t="shared" si="13"/>
        <v>2160</v>
      </c>
      <c r="Q26" s="10">
        <f t="shared" si="7"/>
        <v>15660</v>
      </c>
      <c r="R26" s="66">
        <f t="shared" si="8"/>
        <v>15660000</v>
      </c>
      <c r="S26" s="81">
        <f t="shared" si="9"/>
        <v>20590000</v>
      </c>
      <c r="T26" s="510"/>
      <c r="U26" s="519"/>
      <c r="V26" s="510"/>
    </row>
    <row r="27" spans="1:22" s="39" customFormat="1" ht="141.75" customHeight="1" x14ac:dyDescent="0.25">
      <c r="A27" s="442"/>
      <c r="B27" s="445"/>
      <c r="C27" s="445"/>
      <c r="D27" s="7" t="s">
        <v>37</v>
      </c>
      <c r="E27" s="20">
        <v>5</v>
      </c>
      <c r="F27" s="50">
        <v>100</v>
      </c>
      <c r="G27" s="56">
        <v>92828.962636342549</v>
      </c>
      <c r="H27" s="10">
        <f t="shared" si="11"/>
        <v>14852.634021814809</v>
      </c>
      <c r="I27" s="10">
        <f t="shared" si="1"/>
        <v>107681.59665815736</v>
      </c>
      <c r="J27" s="66">
        <f t="shared" si="2"/>
        <v>53840798.329078674</v>
      </c>
      <c r="K27" s="56">
        <v>48000</v>
      </c>
      <c r="L27" s="10">
        <f t="shared" si="12"/>
        <v>7680</v>
      </c>
      <c r="M27" s="10">
        <f t="shared" si="4"/>
        <v>55680</v>
      </c>
      <c r="N27" s="66">
        <f t="shared" si="10"/>
        <v>27840000</v>
      </c>
      <c r="O27" s="56">
        <v>35000</v>
      </c>
      <c r="P27" s="10">
        <f t="shared" si="13"/>
        <v>5600</v>
      </c>
      <c r="Q27" s="10">
        <f t="shared" si="7"/>
        <v>40600</v>
      </c>
      <c r="R27" s="66">
        <f t="shared" si="8"/>
        <v>20300000</v>
      </c>
      <c r="S27" s="81">
        <f t="shared" si="9"/>
        <v>24070000</v>
      </c>
      <c r="T27" s="510"/>
      <c r="U27" s="519"/>
      <c r="V27" s="510"/>
    </row>
    <row r="28" spans="1:22" s="39" customFormat="1" ht="30" x14ac:dyDescent="0.25">
      <c r="A28" s="442"/>
      <c r="B28" s="445"/>
      <c r="C28" s="445"/>
      <c r="D28" s="96" t="s">
        <v>4</v>
      </c>
      <c r="E28" s="40">
        <v>1</v>
      </c>
      <c r="F28" s="50">
        <v>1</v>
      </c>
      <c r="G28" s="56">
        <v>541502.28204533155</v>
      </c>
      <c r="H28" s="10">
        <f t="shared" si="11"/>
        <v>86640.365127253055</v>
      </c>
      <c r="I28" s="10">
        <f t="shared" si="1"/>
        <v>628142.64717258466</v>
      </c>
      <c r="J28" s="66">
        <f t="shared" si="2"/>
        <v>628142.64717258466</v>
      </c>
      <c r="K28" s="56">
        <v>300000</v>
      </c>
      <c r="L28" s="10">
        <f t="shared" si="12"/>
        <v>48000</v>
      </c>
      <c r="M28" s="10">
        <f t="shared" si="4"/>
        <v>348000</v>
      </c>
      <c r="N28" s="66">
        <f t="shared" si="10"/>
        <v>348000</v>
      </c>
      <c r="O28" s="56">
        <v>250000</v>
      </c>
      <c r="P28" s="10">
        <f t="shared" si="13"/>
        <v>40000</v>
      </c>
      <c r="Q28" s="10">
        <f t="shared" si="7"/>
        <v>290000</v>
      </c>
      <c r="R28" s="66">
        <f t="shared" si="8"/>
        <v>290000</v>
      </c>
      <c r="S28" s="81">
        <f t="shared" si="9"/>
        <v>319000</v>
      </c>
      <c r="T28" s="510"/>
      <c r="U28" s="519"/>
      <c r="V28" s="510"/>
    </row>
    <row r="29" spans="1:22" s="39" customFormat="1" x14ac:dyDescent="0.25">
      <c r="A29" s="442"/>
      <c r="B29" s="445"/>
      <c r="C29" s="445"/>
      <c r="D29" s="9" t="s">
        <v>5</v>
      </c>
      <c r="E29" s="20">
        <v>1</v>
      </c>
      <c r="F29" s="50">
        <v>1</v>
      </c>
      <c r="G29" s="56">
        <v>116036.20329542817</v>
      </c>
      <c r="H29" s="10">
        <f t="shared" si="11"/>
        <v>18565.79252726851</v>
      </c>
      <c r="I29" s="10">
        <f t="shared" si="1"/>
        <v>134601.99582269668</v>
      </c>
      <c r="J29" s="66">
        <f t="shared" si="2"/>
        <v>134601.99582269668</v>
      </c>
      <c r="K29" s="56">
        <v>80000</v>
      </c>
      <c r="L29" s="10">
        <f t="shared" si="12"/>
        <v>12800</v>
      </c>
      <c r="M29" s="10">
        <f t="shared" si="4"/>
        <v>92800</v>
      </c>
      <c r="N29" s="66">
        <f t="shared" si="10"/>
        <v>92800</v>
      </c>
      <c r="O29" s="56">
        <v>70000</v>
      </c>
      <c r="P29" s="10">
        <f t="shared" si="13"/>
        <v>11200</v>
      </c>
      <c r="Q29" s="10">
        <f t="shared" si="7"/>
        <v>81200</v>
      </c>
      <c r="R29" s="66">
        <f t="shared" si="8"/>
        <v>81200</v>
      </c>
      <c r="S29" s="81">
        <f t="shared" si="9"/>
        <v>87000</v>
      </c>
      <c r="T29" s="510"/>
      <c r="U29" s="519"/>
      <c r="V29" s="510"/>
    </row>
    <row r="30" spans="1:22" s="39" customFormat="1" ht="90" x14ac:dyDescent="0.25">
      <c r="A30" s="442"/>
      <c r="B30" s="445"/>
      <c r="C30" s="445"/>
      <c r="D30" s="9" t="s">
        <v>6</v>
      </c>
      <c r="E30" s="20">
        <v>1</v>
      </c>
      <c r="F30" s="50">
        <v>100</v>
      </c>
      <c r="G30" s="56">
        <v>11603.620329542819</v>
      </c>
      <c r="H30" s="10">
        <f t="shared" si="11"/>
        <v>1856.5792527268511</v>
      </c>
      <c r="I30" s="10">
        <f t="shared" si="1"/>
        <v>13460.19958226967</v>
      </c>
      <c r="J30" s="66">
        <f t="shared" si="2"/>
        <v>1346019.9582269669</v>
      </c>
      <c r="K30" s="56">
        <v>4800</v>
      </c>
      <c r="L30" s="10">
        <f t="shared" si="12"/>
        <v>768</v>
      </c>
      <c r="M30" s="10">
        <f t="shared" si="4"/>
        <v>5568</v>
      </c>
      <c r="N30" s="66">
        <f t="shared" si="10"/>
        <v>556800</v>
      </c>
      <c r="O30" s="56">
        <v>4500</v>
      </c>
      <c r="P30" s="10">
        <f t="shared" si="13"/>
        <v>720</v>
      </c>
      <c r="Q30" s="10">
        <f t="shared" si="7"/>
        <v>5220</v>
      </c>
      <c r="R30" s="66">
        <f t="shared" si="8"/>
        <v>522000</v>
      </c>
      <c r="S30" s="81">
        <f t="shared" si="9"/>
        <v>539400</v>
      </c>
      <c r="T30" s="510"/>
      <c r="U30" s="519"/>
      <c r="V30" s="510"/>
    </row>
    <row r="31" spans="1:22" s="39" customFormat="1" ht="90.75" thickBot="1" x14ac:dyDescent="0.3">
      <c r="A31" s="443"/>
      <c r="B31" s="446"/>
      <c r="C31" s="446"/>
      <c r="D31" s="16" t="s">
        <v>14</v>
      </c>
      <c r="E31" s="21">
        <v>1</v>
      </c>
      <c r="F31" s="51">
        <v>1</v>
      </c>
      <c r="G31" s="57">
        <v>4641448.1318171266</v>
      </c>
      <c r="H31" s="11">
        <f t="shared" si="11"/>
        <v>742631.70109074027</v>
      </c>
      <c r="I31" s="11">
        <f t="shared" si="1"/>
        <v>5384079.8329078667</v>
      </c>
      <c r="J31" s="67">
        <f t="shared" si="2"/>
        <v>5384079.8329078667</v>
      </c>
      <c r="K31" s="57">
        <v>297400</v>
      </c>
      <c r="L31" s="11">
        <f t="shared" si="12"/>
        <v>47584</v>
      </c>
      <c r="M31" s="11">
        <f t="shared" si="4"/>
        <v>344984</v>
      </c>
      <c r="N31" s="67">
        <f t="shared" si="10"/>
        <v>344984</v>
      </c>
      <c r="O31" s="69">
        <v>850000</v>
      </c>
      <c r="P31" s="17">
        <f t="shared" si="13"/>
        <v>136000</v>
      </c>
      <c r="Q31" s="17">
        <f t="shared" si="7"/>
        <v>986000</v>
      </c>
      <c r="R31" s="77">
        <f t="shared" si="8"/>
        <v>986000</v>
      </c>
      <c r="S31" s="82">
        <f t="shared" si="9"/>
        <v>665492</v>
      </c>
      <c r="T31" s="511"/>
      <c r="U31" s="520"/>
      <c r="V31" s="511"/>
    </row>
    <row r="32" spans="1:22" ht="63.75" customHeight="1" x14ac:dyDescent="0.25">
      <c r="A32" s="490">
        <v>3</v>
      </c>
      <c r="B32" s="447" t="s">
        <v>25</v>
      </c>
      <c r="C32" s="447" t="s">
        <v>23</v>
      </c>
      <c r="D32" s="106" t="s">
        <v>15</v>
      </c>
      <c r="E32" s="25">
        <v>1</v>
      </c>
      <c r="F32" s="46">
        <v>1</v>
      </c>
      <c r="G32" s="52">
        <v>1441943.2196178541</v>
      </c>
      <c r="H32" s="42">
        <f>+G32*16%</f>
        <v>230710.91513885665</v>
      </c>
      <c r="I32" s="42">
        <f t="shared" ref="I32:I51" si="14">+H32+G32</f>
        <v>1672654.1347567108</v>
      </c>
      <c r="J32" s="59">
        <f t="shared" ref="J32:J51" si="15">+I32*F32*E32</f>
        <v>1672654.1347567108</v>
      </c>
      <c r="K32" s="52">
        <v>550000</v>
      </c>
      <c r="L32" s="26">
        <f>+K32*16%</f>
        <v>88000</v>
      </c>
      <c r="M32" s="26">
        <f t="shared" ref="M32:M51" si="16">+L32+K32</f>
        <v>638000</v>
      </c>
      <c r="N32" s="63">
        <f>+M32*F32*E32</f>
        <v>638000</v>
      </c>
      <c r="O32" s="52">
        <v>350000</v>
      </c>
      <c r="P32" s="26">
        <f>+O32*16%</f>
        <v>56000</v>
      </c>
      <c r="Q32" s="26">
        <f t="shared" ref="Q32:Q51" si="17">+P32+O32</f>
        <v>406000</v>
      </c>
      <c r="R32" s="63">
        <f t="shared" ref="R32:R44" si="18">+Q32*F32*E32</f>
        <v>406000</v>
      </c>
      <c r="S32" s="84">
        <f t="shared" ref="S32:S44" si="19">AVERAGE(N32,R32)</f>
        <v>522000</v>
      </c>
      <c r="T32" s="493">
        <f>SUM(S32:S36)</f>
        <v>3913840</v>
      </c>
      <c r="U32" s="496">
        <v>1</v>
      </c>
      <c r="V32" s="493">
        <f>+U32*T32</f>
        <v>3913840</v>
      </c>
    </row>
    <row r="33" spans="1:22" ht="63.75" customHeight="1" x14ac:dyDescent="0.25">
      <c r="A33" s="491"/>
      <c r="B33" s="448"/>
      <c r="C33" s="448"/>
      <c r="D33" s="32" t="s">
        <v>10</v>
      </c>
      <c r="E33" s="28">
        <v>1</v>
      </c>
      <c r="F33" s="107">
        <v>1</v>
      </c>
      <c r="G33" s="108">
        <v>232072.40659085635</v>
      </c>
      <c r="H33" s="30">
        <f t="shared" ref="H33:H36" si="20">+G33*16%</f>
        <v>37131.585054537019</v>
      </c>
      <c r="I33" s="30">
        <f t="shared" si="14"/>
        <v>269203.99164539337</v>
      </c>
      <c r="J33" s="60">
        <f t="shared" si="15"/>
        <v>269203.99164539337</v>
      </c>
      <c r="K33" s="53">
        <v>150000</v>
      </c>
      <c r="L33" s="30">
        <f t="shared" ref="L33:L36" si="21">+K33*16%</f>
        <v>24000</v>
      </c>
      <c r="M33" s="30">
        <f t="shared" si="16"/>
        <v>174000</v>
      </c>
      <c r="N33" s="60">
        <f t="shared" ref="N33:N36" si="22">+M33*F33*E33</f>
        <v>174000</v>
      </c>
      <c r="O33" s="53">
        <v>120000</v>
      </c>
      <c r="P33" s="30">
        <f t="shared" ref="P33:P36" si="23">+O33*16%</f>
        <v>19200</v>
      </c>
      <c r="Q33" s="30">
        <f t="shared" si="17"/>
        <v>139200</v>
      </c>
      <c r="R33" s="60">
        <f t="shared" si="18"/>
        <v>139200</v>
      </c>
      <c r="S33" s="85">
        <f t="shared" si="19"/>
        <v>156600</v>
      </c>
      <c r="T33" s="494"/>
      <c r="U33" s="497"/>
      <c r="V33" s="494"/>
    </row>
    <row r="34" spans="1:22" ht="98.25" customHeight="1" x14ac:dyDescent="0.25">
      <c r="A34" s="491"/>
      <c r="B34" s="449"/>
      <c r="C34" s="449"/>
      <c r="D34" s="32" t="s">
        <v>9</v>
      </c>
      <c r="E34" s="28">
        <v>1</v>
      </c>
      <c r="F34" s="47">
        <v>40</v>
      </c>
      <c r="G34" s="53">
        <v>23207.240659085637</v>
      </c>
      <c r="H34" s="30">
        <f t="shared" si="20"/>
        <v>3713.1585054537022</v>
      </c>
      <c r="I34" s="30">
        <f t="shared" si="14"/>
        <v>26920.39916453934</v>
      </c>
      <c r="J34" s="60">
        <f t="shared" si="15"/>
        <v>1076815.9665815737</v>
      </c>
      <c r="K34" s="53">
        <v>22000</v>
      </c>
      <c r="L34" s="30">
        <f t="shared" si="21"/>
        <v>3520</v>
      </c>
      <c r="M34" s="30">
        <f t="shared" si="16"/>
        <v>25520</v>
      </c>
      <c r="N34" s="60">
        <f t="shared" si="22"/>
        <v>1020800</v>
      </c>
      <c r="O34" s="53">
        <v>8200</v>
      </c>
      <c r="P34" s="30">
        <f t="shared" si="23"/>
        <v>1312</v>
      </c>
      <c r="Q34" s="30">
        <f t="shared" si="17"/>
        <v>9512</v>
      </c>
      <c r="R34" s="60">
        <f t="shared" si="18"/>
        <v>380480</v>
      </c>
      <c r="S34" s="85">
        <f t="shared" si="19"/>
        <v>700640</v>
      </c>
      <c r="T34" s="494"/>
      <c r="U34" s="497"/>
      <c r="V34" s="494"/>
    </row>
    <row r="35" spans="1:22" ht="135" x14ac:dyDescent="0.25">
      <c r="A35" s="491"/>
      <c r="B35" s="449"/>
      <c r="C35" s="449"/>
      <c r="D35" s="27" t="s">
        <v>7</v>
      </c>
      <c r="E35" s="28">
        <v>1</v>
      </c>
      <c r="F35" s="47">
        <v>40</v>
      </c>
      <c r="G35" s="53">
        <v>77357.468863618778</v>
      </c>
      <c r="H35" s="30">
        <f t="shared" si="20"/>
        <v>12377.195018179005</v>
      </c>
      <c r="I35" s="30">
        <f t="shared" si="14"/>
        <v>89734.66388179778</v>
      </c>
      <c r="J35" s="60">
        <f t="shared" si="15"/>
        <v>3589386.5552719114</v>
      </c>
      <c r="K35" s="53">
        <v>48000</v>
      </c>
      <c r="L35" s="30">
        <f t="shared" si="21"/>
        <v>7680</v>
      </c>
      <c r="M35" s="30">
        <f t="shared" si="16"/>
        <v>55680</v>
      </c>
      <c r="N35" s="60">
        <f t="shared" si="22"/>
        <v>2227200</v>
      </c>
      <c r="O35" s="53">
        <v>32000</v>
      </c>
      <c r="P35" s="30">
        <f t="shared" si="23"/>
        <v>5120</v>
      </c>
      <c r="Q35" s="30">
        <f t="shared" si="17"/>
        <v>37120</v>
      </c>
      <c r="R35" s="60">
        <f t="shared" si="18"/>
        <v>1484800</v>
      </c>
      <c r="S35" s="85">
        <f t="shared" si="19"/>
        <v>1856000</v>
      </c>
      <c r="T35" s="494"/>
      <c r="U35" s="497"/>
      <c r="V35" s="494"/>
    </row>
    <row r="36" spans="1:22" ht="75.75" thickBot="1" x14ac:dyDescent="0.3">
      <c r="A36" s="492"/>
      <c r="B36" s="450"/>
      <c r="C36" s="450"/>
      <c r="D36" s="35" t="s">
        <v>16</v>
      </c>
      <c r="E36" s="36">
        <v>1</v>
      </c>
      <c r="F36" s="48">
        <v>1</v>
      </c>
      <c r="G36" s="54">
        <v>1547149.3772723756</v>
      </c>
      <c r="H36" s="44">
        <f t="shared" si="20"/>
        <v>247543.90036358009</v>
      </c>
      <c r="I36" s="44">
        <f t="shared" si="14"/>
        <v>1794693.2776359557</v>
      </c>
      <c r="J36" s="61">
        <f t="shared" si="15"/>
        <v>1794693.2776359557</v>
      </c>
      <c r="K36" s="54">
        <v>320000</v>
      </c>
      <c r="L36" s="38">
        <f t="shared" si="21"/>
        <v>51200</v>
      </c>
      <c r="M36" s="38">
        <f t="shared" si="16"/>
        <v>371200</v>
      </c>
      <c r="N36" s="64">
        <f t="shared" si="22"/>
        <v>371200</v>
      </c>
      <c r="O36" s="54">
        <v>850000</v>
      </c>
      <c r="P36" s="38">
        <f t="shared" si="23"/>
        <v>136000</v>
      </c>
      <c r="Q36" s="38">
        <f t="shared" si="17"/>
        <v>986000</v>
      </c>
      <c r="R36" s="64">
        <f t="shared" si="18"/>
        <v>986000</v>
      </c>
      <c r="S36" s="86">
        <f t="shared" si="19"/>
        <v>678600</v>
      </c>
      <c r="T36" s="495"/>
      <c r="U36" s="498"/>
      <c r="V36" s="495"/>
    </row>
    <row r="37" spans="1:22" ht="45" customHeight="1" x14ac:dyDescent="0.25">
      <c r="A37" s="441">
        <v>4</v>
      </c>
      <c r="B37" s="444"/>
      <c r="C37" s="444" t="s">
        <v>35</v>
      </c>
      <c r="D37" s="109" t="s">
        <v>46</v>
      </c>
      <c r="E37" s="110">
        <v>0.5</v>
      </c>
      <c r="F37" s="111">
        <v>1</v>
      </c>
      <c r="G37" s="97">
        <v>2320724.0659085633</v>
      </c>
      <c r="H37" s="112">
        <f>+G37*16%</f>
        <v>371315.85054537014</v>
      </c>
      <c r="I37" s="112">
        <f t="shared" si="14"/>
        <v>2692039.9164539333</v>
      </c>
      <c r="J37" s="113">
        <f t="shared" si="15"/>
        <v>1346019.9582269667</v>
      </c>
      <c r="K37" s="97">
        <v>550000</v>
      </c>
      <c r="L37" s="112">
        <f>+K37*16%</f>
        <v>88000</v>
      </c>
      <c r="M37" s="112">
        <f t="shared" si="16"/>
        <v>638000</v>
      </c>
      <c r="N37" s="114">
        <f>+M37*E37*F37</f>
        <v>319000</v>
      </c>
      <c r="O37" s="97">
        <f>4500000*2</f>
        <v>9000000</v>
      </c>
      <c r="P37" s="112">
        <f>+O37*16%</f>
        <v>1440000</v>
      </c>
      <c r="Q37" s="112">
        <f t="shared" si="17"/>
        <v>10440000</v>
      </c>
      <c r="R37" s="114">
        <f t="shared" si="18"/>
        <v>5220000</v>
      </c>
      <c r="S37" s="115">
        <f t="shared" si="19"/>
        <v>2769500</v>
      </c>
      <c r="T37" s="521">
        <f>SUM(S37:S43)</f>
        <v>4779200</v>
      </c>
      <c r="U37" s="519">
        <v>1</v>
      </c>
      <c r="V37" s="521">
        <f>+U37*T37</f>
        <v>4779200</v>
      </c>
    </row>
    <row r="38" spans="1:22" ht="45" x14ac:dyDescent="0.25">
      <c r="A38" s="442"/>
      <c r="B38" s="445"/>
      <c r="C38" s="445"/>
      <c r="D38" s="3" t="s">
        <v>47</v>
      </c>
      <c r="E38" s="40">
        <v>0.5</v>
      </c>
      <c r="F38" s="50">
        <v>1</v>
      </c>
      <c r="G38" s="56">
        <v>448673.31940898893</v>
      </c>
      <c r="H38" s="10">
        <f>+G38*16%</f>
        <v>71787.73110543823</v>
      </c>
      <c r="I38" s="10">
        <f t="shared" si="14"/>
        <v>520461.05051442713</v>
      </c>
      <c r="J38" s="116">
        <f t="shared" si="15"/>
        <v>260230.52525721357</v>
      </c>
      <c r="K38" s="117">
        <v>230000</v>
      </c>
      <c r="L38" s="10">
        <f>+K38*16%</f>
        <v>36800</v>
      </c>
      <c r="M38" s="10">
        <f t="shared" si="16"/>
        <v>266800</v>
      </c>
      <c r="N38" s="114">
        <f t="shared" ref="N38:N43" si="24">+M38*E38*F38</f>
        <v>133400</v>
      </c>
      <c r="O38" s="56">
        <f>220000*2</f>
        <v>440000</v>
      </c>
      <c r="P38" s="10">
        <f>+O38*16%</f>
        <v>70400</v>
      </c>
      <c r="Q38" s="10">
        <f t="shared" si="17"/>
        <v>510400</v>
      </c>
      <c r="R38" s="66">
        <f t="shared" si="18"/>
        <v>255200</v>
      </c>
      <c r="S38" s="81">
        <f t="shared" si="19"/>
        <v>194300</v>
      </c>
      <c r="T38" s="510"/>
      <c r="U38" s="519"/>
      <c r="V38" s="510"/>
    </row>
    <row r="39" spans="1:22" ht="60" x14ac:dyDescent="0.25">
      <c r="A39" s="442"/>
      <c r="B39" s="445"/>
      <c r="C39" s="445"/>
      <c r="D39" s="3" t="s">
        <v>48</v>
      </c>
      <c r="E39" s="40">
        <v>0.5</v>
      </c>
      <c r="F39" s="50">
        <v>1</v>
      </c>
      <c r="G39" s="56">
        <v>232072.40659085635</v>
      </c>
      <c r="H39" s="10">
        <f t="shared" ref="H39:H43" si="25">+G39*16%</f>
        <v>37131.585054537019</v>
      </c>
      <c r="I39" s="10">
        <f t="shared" si="14"/>
        <v>269203.99164539337</v>
      </c>
      <c r="J39" s="116">
        <f t="shared" si="15"/>
        <v>134601.99582269668</v>
      </c>
      <c r="K39" s="117">
        <v>150000</v>
      </c>
      <c r="L39" s="10">
        <f t="shared" ref="L39:L43" si="26">+K39*16%</f>
        <v>24000</v>
      </c>
      <c r="M39" s="10">
        <f t="shared" si="16"/>
        <v>174000</v>
      </c>
      <c r="N39" s="114">
        <f t="shared" si="24"/>
        <v>87000</v>
      </c>
      <c r="O39" s="56">
        <f>120000*2</f>
        <v>240000</v>
      </c>
      <c r="P39" s="10">
        <f t="shared" ref="P39:P43" si="27">+O39*16%</f>
        <v>38400</v>
      </c>
      <c r="Q39" s="10">
        <f t="shared" si="17"/>
        <v>278400</v>
      </c>
      <c r="R39" s="66">
        <f t="shared" si="18"/>
        <v>139200</v>
      </c>
      <c r="S39" s="81">
        <f t="shared" si="19"/>
        <v>113100</v>
      </c>
      <c r="T39" s="510"/>
      <c r="U39" s="519"/>
      <c r="V39" s="510"/>
    </row>
    <row r="40" spans="1:22" ht="30" x14ac:dyDescent="0.25">
      <c r="A40" s="442"/>
      <c r="B40" s="445"/>
      <c r="C40" s="445"/>
      <c r="D40" s="3" t="s">
        <v>49</v>
      </c>
      <c r="E40" s="40">
        <v>0.5</v>
      </c>
      <c r="F40" s="50">
        <v>1</v>
      </c>
      <c r="G40" s="56">
        <v>541502.28204533155</v>
      </c>
      <c r="H40" s="10">
        <f t="shared" si="25"/>
        <v>86640.365127253055</v>
      </c>
      <c r="I40" s="10">
        <f t="shared" si="14"/>
        <v>628142.64717258466</v>
      </c>
      <c r="J40" s="116">
        <f t="shared" si="15"/>
        <v>314071.32358629233</v>
      </c>
      <c r="K40" s="117">
        <v>300000</v>
      </c>
      <c r="L40" s="10">
        <f t="shared" si="26"/>
        <v>48000</v>
      </c>
      <c r="M40" s="10">
        <f t="shared" si="16"/>
        <v>348000</v>
      </c>
      <c r="N40" s="114">
        <f t="shared" si="24"/>
        <v>174000</v>
      </c>
      <c r="O40" s="56">
        <f>350000*2</f>
        <v>700000</v>
      </c>
      <c r="P40" s="10">
        <f t="shared" si="27"/>
        <v>112000</v>
      </c>
      <c r="Q40" s="10">
        <f t="shared" si="17"/>
        <v>812000</v>
      </c>
      <c r="R40" s="66">
        <f t="shared" si="18"/>
        <v>406000</v>
      </c>
      <c r="S40" s="81">
        <f t="shared" si="19"/>
        <v>290000</v>
      </c>
      <c r="T40" s="510"/>
      <c r="U40" s="519"/>
      <c r="V40" s="510"/>
    </row>
    <row r="41" spans="1:22" ht="15" customHeight="1" x14ac:dyDescent="0.25">
      <c r="A41" s="442"/>
      <c r="B41" s="445"/>
      <c r="C41" s="445"/>
      <c r="D41" s="9" t="s">
        <v>50</v>
      </c>
      <c r="E41" s="20">
        <v>0.5</v>
      </c>
      <c r="F41" s="50">
        <v>1</v>
      </c>
      <c r="G41" s="56">
        <v>116036.20329542817</v>
      </c>
      <c r="H41" s="10">
        <f t="shared" si="25"/>
        <v>18565.79252726851</v>
      </c>
      <c r="I41" s="10">
        <f t="shared" si="14"/>
        <v>134601.99582269668</v>
      </c>
      <c r="J41" s="116">
        <f t="shared" si="15"/>
        <v>67300.997911348342</v>
      </c>
      <c r="K41" s="117">
        <v>80000</v>
      </c>
      <c r="L41" s="10">
        <f t="shared" si="26"/>
        <v>12800</v>
      </c>
      <c r="M41" s="10">
        <f t="shared" si="16"/>
        <v>92800</v>
      </c>
      <c r="N41" s="114">
        <f t="shared" si="24"/>
        <v>46400</v>
      </c>
      <c r="O41" s="56">
        <f>70000*2</f>
        <v>140000</v>
      </c>
      <c r="P41" s="10">
        <f t="shared" si="27"/>
        <v>22400</v>
      </c>
      <c r="Q41" s="10">
        <f t="shared" si="17"/>
        <v>162400</v>
      </c>
      <c r="R41" s="66">
        <f t="shared" si="18"/>
        <v>81200</v>
      </c>
      <c r="S41" s="81">
        <f t="shared" si="19"/>
        <v>63800</v>
      </c>
      <c r="T41" s="510"/>
      <c r="U41" s="519"/>
      <c r="V41" s="510"/>
    </row>
    <row r="42" spans="1:22" ht="75" x14ac:dyDescent="0.25">
      <c r="A42" s="442"/>
      <c r="B42" s="445"/>
      <c r="C42" s="445"/>
      <c r="D42" s="9" t="s">
        <v>51</v>
      </c>
      <c r="E42" s="20">
        <v>0.5</v>
      </c>
      <c r="F42" s="50">
        <v>200</v>
      </c>
      <c r="G42" s="56">
        <v>10675.330703179392</v>
      </c>
      <c r="H42" s="10">
        <f t="shared" si="25"/>
        <v>1708.0529125087028</v>
      </c>
      <c r="I42" s="10">
        <f t="shared" si="14"/>
        <v>12383.383615688095</v>
      </c>
      <c r="J42" s="116">
        <f t="shared" si="15"/>
        <v>1238338.3615688095</v>
      </c>
      <c r="K42" s="117">
        <v>4300</v>
      </c>
      <c r="L42" s="10">
        <f t="shared" si="26"/>
        <v>688</v>
      </c>
      <c r="M42" s="10">
        <f t="shared" si="16"/>
        <v>4988</v>
      </c>
      <c r="N42" s="114">
        <f t="shared" si="24"/>
        <v>498800</v>
      </c>
      <c r="O42" s="56">
        <f>4500*2</f>
        <v>9000</v>
      </c>
      <c r="P42" s="10">
        <f t="shared" si="27"/>
        <v>1440</v>
      </c>
      <c r="Q42" s="10">
        <f t="shared" si="17"/>
        <v>10440</v>
      </c>
      <c r="R42" s="66">
        <f t="shared" si="18"/>
        <v>1044000</v>
      </c>
      <c r="S42" s="81">
        <f t="shared" si="19"/>
        <v>771400</v>
      </c>
      <c r="T42" s="510"/>
      <c r="U42" s="519"/>
      <c r="V42" s="510"/>
    </row>
    <row r="43" spans="1:22" ht="75.75" thickBot="1" x14ac:dyDescent="0.3">
      <c r="A43" s="443"/>
      <c r="B43" s="446"/>
      <c r="C43" s="446"/>
      <c r="D43" s="16" t="s">
        <v>52</v>
      </c>
      <c r="E43" s="21">
        <v>0.5</v>
      </c>
      <c r="F43" s="51">
        <v>1</v>
      </c>
      <c r="G43" s="57">
        <v>1547149.3772723756</v>
      </c>
      <c r="H43" s="11">
        <f t="shared" si="25"/>
        <v>247543.90036358009</v>
      </c>
      <c r="I43" s="11">
        <f t="shared" si="14"/>
        <v>1794693.2776359557</v>
      </c>
      <c r="J43" s="118">
        <f t="shared" si="15"/>
        <v>897346.63881797786</v>
      </c>
      <c r="K43" s="119">
        <v>290000</v>
      </c>
      <c r="L43" s="17">
        <f t="shared" si="26"/>
        <v>46400</v>
      </c>
      <c r="M43" s="17">
        <f t="shared" si="16"/>
        <v>336400</v>
      </c>
      <c r="N43" s="105">
        <f t="shared" si="24"/>
        <v>168200</v>
      </c>
      <c r="O43" s="69">
        <f>850000*2</f>
        <v>1700000</v>
      </c>
      <c r="P43" s="17">
        <f t="shared" si="27"/>
        <v>272000</v>
      </c>
      <c r="Q43" s="17">
        <f t="shared" si="17"/>
        <v>1972000</v>
      </c>
      <c r="R43" s="77">
        <f t="shared" si="18"/>
        <v>986000</v>
      </c>
      <c r="S43" s="82">
        <f t="shared" si="19"/>
        <v>577100</v>
      </c>
      <c r="T43" s="510"/>
      <c r="U43" s="519"/>
      <c r="V43" s="510"/>
    </row>
    <row r="44" spans="1:22" ht="45" x14ac:dyDescent="0.25">
      <c r="A44" s="467">
        <v>5</v>
      </c>
      <c r="B44" s="470" t="s">
        <v>26</v>
      </c>
      <c r="C44" s="473" t="s">
        <v>35</v>
      </c>
      <c r="D44" s="98" t="s">
        <v>27</v>
      </c>
      <c r="E44" s="25">
        <v>1</v>
      </c>
      <c r="F44" s="46">
        <v>100</v>
      </c>
      <c r="G44" s="52">
        <v>12377.195018179005</v>
      </c>
      <c r="H44" s="26">
        <f>+G44*16%</f>
        <v>1980.351202908641</v>
      </c>
      <c r="I44" s="26">
        <f t="shared" si="14"/>
        <v>14357.546221087647</v>
      </c>
      <c r="J44" s="63">
        <f t="shared" si="15"/>
        <v>1435754.6221087647</v>
      </c>
      <c r="K44" s="52">
        <v>5000</v>
      </c>
      <c r="L44" s="26">
        <f>+K44*16%</f>
        <v>800</v>
      </c>
      <c r="M44" s="26">
        <f t="shared" si="16"/>
        <v>5800</v>
      </c>
      <c r="N44" s="63">
        <f>+M44*F44*E44</f>
        <v>580000</v>
      </c>
      <c r="O44" s="52">
        <v>4200</v>
      </c>
      <c r="P44" s="26">
        <f>+O44*16%</f>
        <v>672</v>
      </c>
      <c r="Q44" s="26">
        <f t="shared" si="17"/>
        <v>4872</v>
      </c>
      <c r="R44" s="63">
        <f t="shared" si="18"/>
        <v>487200</v>
      </c>
      <c r="S44" s="84">
        <f t="shared" si="19"/>
        <v>533600</v>
      </c>
      <c r="T44" s="493">
        <f>SUM(S44:S51)</f>
        <v>5789560</v>
      </c>
      <c r="U44" s="496">
        <v>1</v>
      </c>
      <c r="V44" s="493">
        <f>+U44*T44</f>
        <v>5789560</v>
      </c>
    </row>
    <row r="45" spans="1:22" ht="18" customHeight="1" x14ac:dyDescent="0.25">
      <c r="A45" s="468"/>
      <c r="B45" s="471"/>
      <c r="C45" s="474"/>
      <c r="D45" s="99" t="s">
        <v>28</v>
      </c>
      <c r="E45" s="29">
        <v>1</v>
      </c>
      <c r="F45" s="47">
        <v>1</v>
      </c>
      <c r="G45" s="53">
        <v>340372.86299992265</v>
      </c>
      <c r="H45" s="37">
        <f t="shared" ref="H45:H51" si="28">+G45*16%</f>
        <v>54459.658079987625</v>
      </c>
      <c r="I45" s="37">
        <f t="shared" si="14"/>
        <v>394832.52107991028</v>
      </c>
      <c r="J45" s="76">
        <f t="shared" si="15"/>
        <v>394832.52107991028</v>
      </c>
      <c r="K45" s="53">
        <v>300000</v>
      </c>
      <c r="L45" s="30">
        <f t="shared" ref="L45:L51" si="29">+K45*16%</f>
        <v>48000</v>
      </c>
      <c r="M45" s="30">
        <f t="shared" si="16"/>
        <v>348000</v>
      </c>
      <c r="N45" s="60">
        <f t="shared" ref="N45:N51" si="30">+M45*F45*E45</f>
        <v>348000</v>
      </c>
      <c r="O45" s="53">
        <v>420000</v>
      </c>
      <c r="P45" s="30">
        <f t="shared" ref="P45:P51" si="31">+O45*16%</f>
        <v>67200</v>
      </c>
      <c r="Q45" s="30">
        <f t="shared" si="17"/>
        <v>487200</v>
      </c>
      <c r="R45" s="60">
        <f t="shared" ref="R45:R51" si="32">+Q45*F45*E45</f>
        <v>487200</v>
      </c>
      <c r="S45" s="85">
        <f t="shared" ref="S45:S51" si="33">AVERAGE(N45,R45)</f>
        <v>417600</v>
      </c>
      <c r="T45" s="494"/>
      <c r="U45" s="497"/>
      <c r="V45" s="494"/>
    </row>
    <row r="46" spans="1:22" x14ac:dyDescent="0.25">
      <c r="A46" s="468"/>
      <c r="B46" s="471"/>
      <c r="C46" s="474"/>
      <c r="D46" s="100" t="s">
        <v>29</v>
      </c>
      <c r="E46" s="101">
        <v>1</v>
      </c>
      <c r="F46" s="47">
        <v>1</v>
      </c>
      <c r="G46" s="53">
        <v>116036.20329542817</v>
      </c>
      <c r="H46" s="37">
        <f t="shared" si="28"/>
        <v>18565.79252726851</v>
      </c>
      <c r="I46" s="37">
        <f t="shared" si="14"/>
        <v>134601.99582269668</v>
      </c>
      <c r="J46" s="76">
        <f t="shared" si="15"/>
        <v>134601.99582269668</v>
      </c>
      <c r="K46" s="53">
        <v>80000</v>
      </c>
      <c r="L46" s="30">
        <f t="shared" si="29"/>
        <v>12800</v>
      </c>
      <c r="M46" s="30">
        <f t="shared" si="16"/>
        <v>92800</v>
      </c>
      <c r="N46" s="60">
        <f t="shared" si="30"/>
        <v>92800</v>
      </c>
      <c r="O46" s="53">
        <v>120000</v>
      </c>
      <c r="P46" s="30">
        <f t="shared" si="31"/>
        <v>19200</v>
      </c>
      <c r="Q46" s="30">
        <f t="shared" si="17"/>
        <v>139200</v>
      </c>
      <c r="R46" s="60">
        <f t="shared" si="32"/>
        <v>139200</v>
      </c>
      <c r="S46" s="85">
        <f t="shared" si="33"/>
        <v>116000</v>
      </c>
      <c r="T46" s="494"/>
      <c r="U46" s="497"/>
      <c r="V46" s="494"/>
    </row>
    <row r="47" spans="1:22" x14ac:dyDescent="0.25">
      <c r="A47" s="468"/>
      <c r="B47" s="471"/>
      <c r="C47" s="474"/>
      <c r="D47" s="100" t="s">
        <v>30</v>
      </c>
      <c r="E47" s="101">
        <v>1</v>
      </c>
      <c r="F47" s="47">
        <v>1</v>
      </c>
      <c r="G47" s="53">
        <v>116036.20329542817</v>
      </c>
      <c r="H47" s="37">
        <f t="shared" si="28"/>
        <v>18565.79252726851</v>
      </c>
      <c r="I47" s="37">
        <f t="shared" si="14"/>
        <v>134601.99582269668</v>
      </c>
      <c r="J47" s="76">
        <f t="shared" si="15"/>
        <v>134601.99582269668</v>
      </c>
      <c r="K47" s="53">
        <v>80000</v>
      </c>
      <c r="L47" s="30">
        <f t="shared" si="29"/>
        <v>12800</v>
      </c>
      <c r="M47" s="30">
        <f t="shared" si="16"/>
        <v>92800</v>
      </c>
      <c r="N47" s="60">
        <f t="shared" si="30"/>
        <v>92800</v>
      </c>
      <c r="O47" s="53">
        <v>70000</v>
      </c>
      <c r="P47" s="30">
        <f t="shared" si="31"/>
        <v>11200</v>
      </c>
      <c r="Q47" s="30">
        <f t="shared" si="17"/>
        <v>81200</v>
      </c>
      <c r="R47" s="60">
        <f t="shared" si="32"/>
        <v>81200</v>
      </c>
      <c r="S47" s="85">
        <f t="shared" si="33"/>
        <v>87000</v>
      </c>
      <c r="T47" s="494"/>
      <c r="U47" s="497"/>
      <c r="V47" s="494"/>
    </row>
    <row r="48" spans="1:22" ht="90" x14ac:dyDescent="0.25">
      <c r="A48" s="468"/>
      <c r="B48" s="471"/>
      <c r="C48" s="474"/>
      <c r="D48" s="27" t="s">
        <v>31</v>
      </c>
      <c r="E48" s="29">
        <v>1</v>
      </c>
      <c r="F48" s="47">
        <v>150</v>
      </c>
      <c r="G48" s="53">
        <v>3094.2987545447513</v>
      </c>
      <c r="H48" s="37">
        <f t="shared" si="28"/>
        <v>495.08780072716024</v>
      </c>
      <c r="I48" s="37">
        <f t="shared" si="14"/>
        <v>3589.3865552719117</v>
      </c>
      <c r="J48" s="76">
        <f t="shared" si="15"/>
        <v>538407.98329078674</v>
      </c>
      <c r="K48" s="53">
        <v>25000</v>
      </c>
      <c r="L48" s="30">
        <f t="shared" si="29"/>
        <v>4000</v>
      </c>
      <c r="M48" s="30">
        <f t="shared" si="16"/>
        <v>29000</v>
      </c>
      <c r="N48" s="60">
        <f t="shared" si="30"/>
        <v>4350000</v>
      </c>
      <c r="O48" s="53">
        <v>2800</v>
      </c>
      <c r="P48" s="30">
        <f t="shared" si="31"/>
        <v>448</v>
      </c>
      <c r="Q48" s="30">
        <f t="shared" si="17"/>
        <v>3248</v>
      </c>
      <c r="R48" s="60">
        <f t="shared" si="32"/>
        <v>487200</v>
      </c>
      <c r="S48" s="85">
        <f t="shared" si="33"/>
        <v>2418600</v>
      </c>
      <c r="T48" s="494"/>
      <c r="U48" s="497"/>
      <c r="V48" s="494"/>
    </row>
    <row r="49" spans="1:22" ht="90" x14ac:dyDescent="0.25">
      <c r="A49" s="468"/>
      <c r="B49" s="471"/>
      <c r="C49" s="474"/>
      <c r="D49" s="27" t="s">
        <v>32</v>
      </c>
      <c r="E49" s="29">
        <v>1</v>
      </c>
      <c r="F49" s="47">
        <v>1</v>
      </c>
      <c r="G49" s="53">
        <v>5105592.9449988399</v>
      </c>
      <c r="H49" s="37">
        <f t="shared" si="28"/>
        <v>816894.87119981437</v>
      </c>
      <c r="I49" s="37">
        <f t="shared" si="14"/>
        <v>5922487.8161986545</v>
      </c>
      <c r="J49" s="76">
        <f t="shared" si="15"/>
        <v>5922487.8161986545</v>
      </c>
      <c r="K49" s="53">
        <v>7000</v>
      </c>
      <c r="L49" s="30">
        <f t="shared" si="29"/>
        <v>1120</v>
      </c>
      <c r="M49" s="30">
        <f t="shared" si="16"/>
        <v>8120</v>
      </c>
      <c r="N49" s="60">
        <f t="shared" si="30"/>
        <v>8120</v>
      </c>
      <c r="O49" s="53">
        <v>700000</v>
      </c>
      <c r="P49" s="30">
        <f t="shared" si="31"/>
        <v>112000</v>
      </c>
      <c r="Q49" s="30">
        <f t="shared" si="17"/>
        <v>812000</v>
      </c>
      <c r="R49" s="60">
        <f t="shared" si="32"/>
        <v>812000</v>
      </c>
      <c r="S49" s="85">
        <f t="shared" si="33"/>
        <v>410060</v>
      </c>
      <c r="T49" s="494"/>
      <c r="U49" s="497"/>
      <c r="V49" s="494"/>
    </row>
    <row r="50" spans="1:22" ht="60" x14ac:dyDescent="0.25">
      <c r="A50" s="468"/>
      <c r="B50" s="471"/>
      <c r="C50" s="474"/>
      <c r="D50" s="102" t="s">
        <v>33</v>
      </c>
      <c r="E50" s="29">
        <v>1</v>
      </c>
      <c r="F50" s="47">
        <v>1</v>
      </c>
      <c r="G50" s="53">
        <v>1856579.2527268508</v>
      </c>
      <c r="H50" s="37">
        <f t="shared" si="28"/>
        <v>297052.68043629616</v>
      </c>
      <c r="I50" s="37">
        <f t="shared" si="14"/>
        <v>2153631.933163147</v>
      </c>
      <c r="J50" s="76">
        <f t="shared" si="15"/>
        <v>2153631.933163147</v>
      </c>
      <c r="K50" s="53">
        <v>25000</v>
      </c>
      <c r="L50" s="30">
        <f t="shared" si="29"/>
        <v>4000</v>
      </c>
      <c r="M50" s="30">
        <f t="shared" si="16"/>
        <v>29000</v>
      </c>
      <c r="N50" s="60">
        <f t="shared" si="30"/>
        <v>29000</v>
      </c>
      <c r="O50" s="53">
        <v>1440000</v>
      </c>
      <c r="P50" s="30">
        <f t="shared" si="31"/>
        <v>230400</v>
      </c>
      <c r="Q50" s="30">
        <f t="shared" si="17"/>
        <v>1670400</v>
      </c>
      <c r="R50" s="60">
        <f t="shared" si="32"/>
        <v>1670400</v>
      </c>
      <c r="S50" s="85">
        <f t="shared" si="33"/>
        <v>849700</v>
      </c>
      <c r="T50" s="494"/>
      <c r="U50" s="497"/>
      <c r="V50" s="494"/>
    </row>
    <row r="51" spans="1:22" ht="60.75" thickBot="1" x14ac:dyDescent="0.3">
      <c r="A51" s="469"/>
      <c r="B51" s="472"/>
      <c r="C51" s="475"/>
      <c r="D51" s="103" t="s">
        <v>34</v>
      </c>
      <c r="E51" s="104">
        <v>1</v>
      </c>
      <c r="F51" s="48">
        <v>1</v>
      </c>
      <c r="G51" s="54">
        <v>928289.6263634254</v>
      </c>
      <c r="H51" s="44">
        <f t="shared" si="28"/>
        <v>148526.34021814808</v>
      </c>
      <c r="I51" s="44">
        <f t="shared" si="14"/>
        <v>1076815.9665815735</v>
      </c>
      <c r="J51" s="61">
        <f t="shared" si="15"/>
        <v>1076815.9665815735</v>
      </c>
      <c r="K51" s="54">
        <v>450000</v>
      </c>
      <c r="L51" s="38">
        <f t="shared" si="29"/>
        <v>72000</v>
      </c>
      <c r="M51" s="38">
        <f t="shared" si="16"/>
        <v>522000</v>
      </c>
      <c r="N51" s="64">
        <f t="shared" si="30"/>
        <v>522000</v>
      </c>
      <c r="O51" s="54">
        <v>1200000</v>
      </c>
      <c r="P51" s="38">
        <f t="shared" si="31"/>
        <v>192000</v>
      </c>
      <c r="Q51" s="38">
        <f t="shared" si="17"/>
        <v>1392000</v>
      </c>
      <c r="R51" s="64">
        <f t="shared" si="32"/>
        <v>1392000</v>
      </c>
      <c r="S51" s="86">
        <f t="shared" si="33"/>
        <v>957000</v>
      </c>
      <c r="T51" s="495"/>
      <c r="U51" s="498"/>
      <c r="V51" s="495"/>
    </row>
    <row r="52" spans="1:22" ht="26.25" customHeight="1" thickBot="1" x14ac:dyDescent="0.4">
      <c r="A52" s="70"/>
      <c r="B52" s="71"/>
      <c r="C52" s="71"/>
      <c r="D52" s="72"/>
      <c r="E52" s="73"/>
      <c r="F52" s="74"/>
      <c r="G52" s="499" t="s">
        <v>41</v>
      </c>
      <c r="H52" s="500"/>
      <c r="I52" s="500"/>
      <c r="J52" s="78">
        <f>SUM(J10:J51)</f>
        <v>369122642.53113621</v>
      </c>
      <c r="K52" s="499" t="s">
        <v>41</v>
      </c>
      <c r="L52" s="500"/>
      <c r="M52" s="500"/>
      <c r="N52" s="78">
        <f>SUM(N10:N51)</f>
        <v>184993088</v>
      </c>
      <c r="O52" s="501" t="s">
        <v>41</v>
      </c>
      <c r="P52" s="502"/>
      <c r="Q52" s="502"/>
      <c r="R52" s="80">
        <f>SUM(R10:R51)</f>
        <v>142039680</v>
      </c>
      <c r="S52" s="87">
        <f>AVERAGE(N52,R52)</f>
        <v>163516384</v>
      </c>
      <c r="T52" s="88">
        <f>SUM(T10:T44)</f>
        <v>163516384</v>
      </c>
      <c r="V52" s="89">
        <f>SUM(V10:V51)</f>
        <v>163516384</v>
      </c>
    </row>
    <row r="53" spans="1:22" x14ac:dyDescent="0.25">
      <c r="A53" s="70"/>
      <c r="B53" s="71"/>
      <c r="C53" s="71"/>
      <c r="D53" s="72"/>
      <c r="E53" s="73"/>
      <c r="F53" s="74"/>
      <c r="G53" s="68"/>
      <c r="H53" s="68"/>
      <c r="I53" s="68"/>
      <c r="J53" s="68"/>
    </row>
    <row r="54" spans="1:22" x14ac:dyDescent="0.25">
      <c r="A54" s="70"/>
      <c r="B54" s="71"/>
      <c r="C54" s="71"/>
      <c r="D54" s="72"/>
      <c r="E54" s="73"/>
      <c r="F54" s="74"/>
      <c r="G54" s="68"/>
      <c r="H54" s="68"/>
      <c r="I54" s="68"/>
      <c r="J54" s="68"/>
    </row>
    <row r="55" spans="1:22" ht="15.75" thickBot="1" x14ac:dyDescent="0.3">
      <c r="Q55" s="93"/>
      <c r="R55" s="91"/>
    </row>
    <row r="56" spans="1:22" ht="16.5" thickBot="1" x14ac:dyDescent="0.3">
      <c r="A56" s="4"/>
      <c r="B56" s="4"/>
      <c r="D56" s="120" t="s">
        <v>53</v>
      </c>
      <c r="E56" s="461">
        <f>+V52</f>
        <v>163516384</v>
      </c>
      <c r="F56" s="462"/>
      <c r="G56" s="463"/>
      <c r="N56" s="94"/>
      <c r="P56" s="93"/>
      <c r="Q56" s="79"/>
      <c r="R56" s="92"/>
    </row>
    <row r="57" spans="1:22" ht="16.5" thickBot="1" x14ac:dyDescent="0.3">
      <c r="D57" s="120" t="s">
        <v>54</v>
      </c>
      <c r="E57" s="461">
        <f>+E56-V44-V37</f>
        <v>152947624</v>
      </c>
      <c r="F57" s="462"/>
      <c r="G57" s="463"/>
    </row>
    <row r="58" spans="1:22" ht="16.5" thickBot="1" x14ac:dyDescent="0.3">
      <c r="D58" s="120" t="s">
        <v>55</v>
      </c>
      <c r="E58" s="461">
        <f>+V44+V37</f>
        <v>10568760</v>
      </c>
      <c r="F58" s="462"/>
      <c r="G58" s="463"/>
    </row>
    <row r="59" spans="1:22" ht="15.75" x14ac:dyDescent="0.25">
      <c r="D59" s="121"/>
      <c r="E59" s="122"/>
      <c r="F59" s="122"/>
      <c r="G59" s="122"/>
    </row>
    <row r="60" spans="1:22" ht="16.5" thickBot="1" x14ac:dyDescent="0.3">
      <c r="D60" s="121"/>
      <c r="E60" s="122"/>
      <c r="F60" s="122"/>
      <c r="G60" s="122"/>
    </row>
    <row r="61" spans="1:22" ht="27" thickBot="1" x14ac:dyDescent="0.45">
      <c r="D61" s="123" t="s">
        <v>56</v>
      </c>
      <c r="E61" s="438">
        <f>+E56</f>
        <v>163516384</v>
      </c>
      <c r="F61" s="439"/>
      <c r="G61" s="440"/>
    </row>
    <row r="62" spans="1:22" ht="15.75" x14ac:dyDescent="0.25">
      <c r="D62" s="121"/>
      <c r="E62" s="122"/>
      <c r="F62" s="122"/>
      <c r="G62" s="122"/>
    </row>
    <row r="63" spans="1:22" ht="15.75" x14ac:dyDescent="0.25">
      <c r="D63" s="121"/>
      <c r="E63" s="122"/>
      <c r="F63" s="122"/>
      <c r="G63" s="122"/>
    </row>
    <row r="64" spans="1:22" ht="15.75" x14ac:dyDescent="0.25">
      <c r="D64" s="121"/>
      <c r="E64" s="122"/>
      <c r="F64" s="122"/>
      <c r="G64" s="122"/>
    </row>
  </sheetData>
  <mergeCells count="63">
    <mergeCell ref="C37:C43"/>
    <mergeCell ref="T37:T43"/>
    <mergeCell ref="U37:U43"/>
    <mergeCell ref="V37:V43"/>
    <mergeCell ref="A4:V4"/>
    <mergeCell ref="S7:S9"/>
    <mergeCell ref="T7:T9"/>
    <mergeCell ref="T10:T20"/>
    <mergeCell ref="T21:T31"/>
    <mergeCell ref="O7:R7"/>
    <mergeCell ref="O8:O9"/>
    <mergeCell ref="P8:P9"/>
    <mergeCell ref="Q8:Q9"/>
    <mergeCell ref="R8:R9"/>
    <mergeCell ref="G7:J7"/>
    <mergeCell ref="K7:N7"/>
    <mergeCell ref="V7:V9"/>
    <mergeCell ref="V10:V20"/>
    <mergeCell ref="V21:V31"/>
    <mergeCell ref="U7:U9"/>
    <mergeCell ref="U10:U20"/>
    <mergeCell ref="U21:U31"/>
    <mergeCell ref="V32:V36"/>
    <mergeCell ref="V44:V51"/>
    <mergeCell ref="U32:U36"/>
    <mergeCell ref="G52:I52"/>
    <mergeCell ref="K52:M52"/>
    <mergeCell ref="O52:Q52"/>
    <mergeCell ref="T32:T36"/>
    <mergeCell ref="T44:T51"/>
    <mergeCell ref="U44:U51"/>
    <mergeCell ref="M8:M9"/>
    <mergeCell ref="N8:N9"/>
    <mergeCell ref="A44:A51"/>
    <mergeCell ref="B44:B51"/>
    <mergeCell ref="C44:C51"/>
    <mergeCell ref="L8:L9"/>
    <mergeCell ref="I8:I9"/>
    <mergeCell ref="K8:K9"/>
    <mergeCell ref="E8:E9"/>
    <mergeCell ref="D8:D9"/>
    <mergeCell ref="F8:F9"/>
    <mergeCell ref="J8:J9"/>
    <mergeCell ref="H8:H9"/>
    <mergeCell ref="G8:G9"/>
    <mergeCell ref="C32:C36"/>
    <mergeCell ref="A32:A36"/>
    <mergeCell ref="E61:G61"/>
    <mergeCell ref="A37:A43"/>
    <mergeCell ref="B37:B43"/>
    <mergeCell ref="B32:B36"/>
    <mergeCell ref="A8:A9"/>
    <mergeCell ref="C8:C9"/>
    <mergeCell ref="A10:A20"/>
    <mergeCell ref="C10:C20"/>
    <mergeCell ref="A21:A31"/>
    <mergeCell ref="C21:C31"/>
    <mergeCell ref="B8:B9"/>
    <mergeCell ref="B10:B20"/>
    <mergeCell ref="B21:B31"/>
    <mergeCell ref="E56:G56"/>
    <mergeCell ref="E57:G57"/>
    <mergeCell ref="E58:G58"/>
  </mergeCells>
  <printOptions horizontalCentered="1" verticalCentered="1"/>
  <pageMargins left="0.11811023622047245" right="0.11811023622047245" top="0.74803149606299213" bottom="0.35433070866141736" header="0.31496062992125984" footer="0.31496062992125984"/>
  <pageSetup scale="40" orientation="landscape"/>
  <drawing r:id="rId1"/>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8"/>
  <sheetViews>
    <sheetView topLeftCell="B1" zoomScale="125" zoomScaleNormal="125" zoomScalePageLayoutView="125" workbookViewId="0">
      <selection activeCell="B1" sqref="B1"/>
    </sheetView>
  </sheetViews>
  <sheetFormatPr baseColWidth="10" defaultColWidth="10.85546875" defaultRowHeight="12.75" x14ac:dyDescent="0.2"/>
  <cols>
    <col min="1" max="1" width="7.42578125" style="172" bestFit="1" customWidth="1"/>
    <col min="2" max="2" width="83" style="173" customWidth="1"/>
    <col min="3" max="3" width="14.140625" style="174" customWidth="1"/>
    <col min="4" max="4" width="16.140625" style="174" customWidth="1"/>
    <col min="5" max="5" width="65.28515625" style="175" customWidth="1"/>
    <col min="6" max="6" width="15.7109375" style="178" bestFit="1" customWidth="1"/>
    <col min="7" max="7" width="20.28515625" style="178" bestFit="1" customWidth="1"/>
    <col min="8" max="16384" width="10.85546875" style="137"/>
  </cols>
  <sheetData>
    <row r="1" spans="1:7" x14ac:dyDescent="0.2">
      <c r="B1" s="176" t="s">
        <v>191</v>
      </c>
    </row>
    <row r="2" spans="1:7" x14ac:dyDescent="0.2">
      <c r="B2" s="176" t="s">
        <v>192</v>
      </c>
    </row>
    <row r="3" spans="1:7" x14ac:dyDescent="0.2">
      <c r="B3" s="176" t="s">
        <v>194</v>
      </c>
    </row>
    <row r="4" spans="1:7" x14ac:dyDescent="0.2">
      <c r="B4" s="177" t="s">
        <v>161</v>
      </c>
    </row>
    <row r="5" spans="1:7" x14ac:dyDescent="0.2">
      <c r="B5" s="176" t="s">
        <v>160</v>
      </c>
    </row>
    <row r="6" spans="1:7" x14ac:dyDescent="0.2">
      <c r="B6" s="176" t="s">
        <v>193</v>
      </c>
    </row>
    <row r="8" spans="1:7" ht="15" customHeight="1" x14ac:dyDescent="0.2">
      <c r="A8" s="544" t="s">
        <v>102</v>
      </c>
      <c r="B8" s="544"/>
      <c r="C8" s="544"/>
      <c r="D8" s="544"/>
      <c r="E8" s="544"/>
      <c r="F8" s="544"/>
      <c r="G8" s="544"/>
    </row>
    <row r="9" spans="1:7" ht="25.5" x14ac:dyDescent="0.2">
      <c r="A9" s="545" t="s">
        <v>62</v>
      </c>
      <c r="B9" s="546"/>
      <c r="C9" s="138" t="s">
        <v>63</v>
      </c>
      <c r="D9" s="139" t="s">
        <v>64</v>
      </c>
      <c r="E9" s="140" t="s">
        <v>65</v>
      </c>
      <c r="F9" s="179" t="s">
        <v>101</v>
      </c>
      <c r="G9" s="179" t="s">
        <v>61</v>
      </c>
    </row>
    <row r="10" spans="1:7" x14ac:dyDescent="0.2">
      <c r="A10" s="141"/>
      <c r="B10" s="142" t="s">
        <v>117</v>
      </c>
      <c r="C10" s="138"/>
      <c r="D10" s="139"/>
      <c r="E10" s="140"/>
      <c r="F10" s="179"/>
      <c r="G10" s="179"/>
    </row>
    <row r="11" spans="1:7" x14ac:dyDescent="0.2">
      <c r="A11" s="143" t="s">
        <v>129</v>
      </c>
      <c r="B11" s="142" t="s">
        <v>170</v>
      </c>
      <c r="C11" s="144"/>
      <c r="D11" s="142"/>
      <c r="E11" s="145"/>
      <c r="F11" s="180"/>
      <c r="G11" s="180"/>
    </row>
    <row r="12" spans="1:7" ht="91.5" customHeight="1" x14ac:dyDescent="0.2">
      <c r="A12" s="146" t="s">
        <v>171</v>
      </c>
      <c r="B12" s="147" t="s">
        <v>127</v>
      </c>
      <c r="C12" s="148">
        <v>3</v>
      </c>
      <c r="D12" s="148" t="s">
        <v>111</v>
      </c>
      <c r="E12" s="149" t="s">
        <v>131</v>
      </c>
      <c r="F12" s="181">
        <v>29700000</v>
      </c>
      <c r="G12" s="181">
        <f>+F12*C12</f>
        <v>89100000</v>
      </c>
    </row>
    <row r="13" spans="1:7" ht="99" customHeight="1" x14ac:dyDescent="0.2">
      <c r="A13" s="150" t="s">
        <v>171</v>
      </c>
      <c r="B13" s="147" t="s">
        <v>128</v>
      </c>
      <c r="C13" s="148">
        <v>2</v>
      </c>
      <c r="D13" s="148" t="s">
        <v>111</v>
      </c>
      <c r="E13" s="149" t="s">
        <v>132</v>
      </c>
      <c r="F13" s="181">
        <v>29400000</v>
      </c>
      <c r="G13" s="181">
        <f t="shared" ref="G13:G76" si="0">+F13*C13</f>
        <v>58800000</v>
      </c>
    </row>
    <row r="14" spans="1:7" ht="162" customHeight="1" x14ac:dyDescent="0.2">
      <c r="A14" s="150" t="s">
        <v>171</v>
      </c>
      <c r="B14" s="147" t="s">
        <v>186</v>
      </c>
      <c r="C14" s="148">
        <v>5</v>
      </c>
      <c r="D14" s="148" t="s">
        <v>110</v>
      </c>
      <c r="E14" s="149" t="s">
        <v>136</v>
      </c>
      <c r="F14" s="181">
        <v>7300000</v>
      </c>
      <c r="G14" s="181">
        <f t="shared" si="0"/>
        <v>36500000</v>
      </c>
    </row>
    <row r="15" spans="1:7" ht="162.75" customHeight="1" x14ac:dyDescent="0.2">
      <c r="A15" s="146" t="s">
        <v>171</v>
      </c>
      <c r="B15" s="147" t="s">
        <v>187</v>
      </c>
      <c r="C15" s="148">
        <v>5</v>
      </c>
      <c r="D15" s="148" t="s">
        <v>110</v>
      </c>
      <c r="E15" s="149" t="s">
        <v>112</v>
      </c>
      <c r="F15" s="181">
        <v>5400000</v>
      </c>
      <c r="G15" s="181">
        <f t="shared" si="0"/>
        <v>27000000</v>
      </c>
    </row>
    <row r="16" spans="1:7" ht="25.5" x14ac:dyDescent="0.2">
      <c r="A16" s="146" t="s">
        <v>172</v>
      </c>
      <c r="B16" s="147" t="s">
        <v>113</v>
      </c>
      <c r="C16" s="148">
        <v>6</v>
      </c>
      <c r="D16" s="148" t="s">
        <v>114</v>
      </c>
      <c r="E16" s="149" t="s">
        <v>115</v>
      </c>
      <c r="F16" s="181">
        <v>21000000</v>
      </c>
      <c r="G16" s="181">
        <f t="shared" si="0"/>
        <v>126000000</v>
      </c>
    </row>
    <row r="17" spans="1:7" ht="43.5" customHeight="1" x14ac:dyDescent="0.2">
      <c r="A17" s="146" t="s">
        <v>173</v>
      </c>
      <c r="B17" s="147" t="s">
        <v>107</v>
      </c>
      <c r="C17" s="151">
        <v>16</v>
      </c>
      <c r="D17" s="148" t="s">
        <v>123</v>
      </c>
      <c r="E17" s="149" t="s">
        <v>116</v>
      </c>
      <c r="F17" s="181">
        <v>14500000</v>
      </c>
      <c r="G17" s="181">
        <f t="shared" si="0"/>
        <v>232000000</v>
      </c>
    </row>
    <row r="18" spans="1:7" ht="285.75" customHeight="1" x14ac:dyDescent="0.2">
      <c r="A18" s="152" t="s">
        <v>174</v>
      </c>
      <c r="B18" s="147" t="s">
        <v>151</v>
      </c>
      <c r="C18" s="148">
        <v>2</v>
      </c>
      <c r="D18" s="148" t="s">
        <v>145</v>
      </c>
      <c r="E18" s="149" t="s">
        <v>152</v>
      </c>
      <c r="F18" s="181">
        <v>15400000</v>
      </c>
      <c r="G18" s="181">
        <f t="shared" si="0"/>
        <v>30800000</v>
      </c>
    </row>
    <row r="19" spans="1:7" ht="270" customHeight="1" x14ac:dyDescent="0.2">
      <c r="A19" s="152">
        <v>2.4</v>
      </c>
      <c r="B19" s="147" t="s">
        <v>176</v>
      </c>
      <c r="C19" s="148">
        <v>2</v>
      </c>
      <c r="D19" s="148" t="s">
        <v>145</v>
      </c>
      <c r="E19" s="149" t="s">
        <v>175</v>
      </c>
      <c r="F19" s="181">
        <v>21000000</v>
      </c>
      <c r="G19" s="181">
        <f t="shared" si="0"/>
        <v>42000000</v>
      </c>
    </row>
    <row r="20" spans="1:7" ht="305.25" customHeight="1" thickBot="1" x14ac:dyDescent="0.25">
      <c r="A20" s="152">
        <v>2.4</v>
      </c>
      <c r="B20" s="147" t="s">
        <v>153</v>
      </c>
      <c r="C20" s="148">
        <v>2</v>
      </c>
      <c r="D20" s="148" t="s">
        <v>145</v>
      </c>
      <c r="E20" s="149" t="s">
        <v>154</v>
      </c>
      <c r="F20" s="182">
        <v>19000000</v>
      </c>
      <c r="G20" s="181">
        <f t="shared" si="0"/>
        <v>38000000</v>
      </c>
    </row>
    <row r="21" spans="1:7" ht="55.5" customHeight="1" x14ac:dyDescent="0.2">
      <c r="A21" s="152">
        <v>2</v>
      </c>
      <c r="B21" s="147" t="s">
        <v>144</v>
      </c>
      <c r="C21" s="147">
        <v>10</v>
      </c>
      <c r="D21" s="147" t="s">
        <v>145</v>
      </c>
      <c r="E21" s="147" t="s">
        <v>146</v>
      </c>
      <c r="F21" s="183">
        <v>5000000</v>
      </c>
      <c r="G21" s="181">
        <f t="shared" si="0"/>
        <v>50000000</v>
      </c>
    </row>
    <row r="22" spans="1:7" ht="216.75" customHeight="1" x14ac:dyDescent="0.2">
      <c r="A22" s="152">
        <v>2.1</v>
      </c>
      <c r="B22" s="147" t="s">
        <v>189</v>
      </c>
      <c r="C22" s="147">
        <v>48</v>
      </c>
      <c r="D22" s="147" t="s">
        <v>145</v>
      </c>
      <c r="E22" s="147" t="s">
        <v>147</v>
      </c>
      <c r="F22" s="184">
        <v>3500000</v>
      </c>
      <c r="G22" s="181">
        <f t="shared" si="0"/>
        <v>168000000</v>
      </c>
    </row>
    <row r="23" spans="1:7" ht="68.25" customHeight="1" x14ac:dyDescent="0.2">
      <c r="A23" s="152">
        <v>2.1</v>
      </c>
      <c r="B23" s="147" t="s">
        <v>148</v>
      </c>
      <c r="C23" s="147">
        <v>8</v>
      </c>
      <c r="D23" s="147" t="s">
        <v>145</v>
      </c>
      <c r="E23" s="147" t="s">
        <v>66</v>
      </c>
      <c r="F23" s="181">
        <v>1200000</v>
      </c>
      <c r="G23" s="181">
        <f t="shared" si="0"/>
        <v>9600000</v>
      </c>
    </row>
    <row r="24" spans="1:7" x14ac:dyDescent="0.2">
      <c r="A24" s="547">
        <v>2.1</v>
      </c>
      <c r="B24" s="550" t="s">
        <v>67</v>
      </c>
      <c r="C24" s="153">
        <v>8</v>
      </c>
      <c r="D24" s="154" t="s">
        <v>145</v>
      </c>
      <c r="E24" s="155" t="s">
        <v>68</v>
      </c>
      <c r="F24" s="181">
        <v>280000</v>
      </c>
      <c r="G24" s="181">
        <f t="shared" si="0"/>
        <v>2240000</v>
      </c>
    </row>
    <row r="25" spans="1:7" x14ac:dyDescent="0.2">
      <c r="A25" s="548"/>
      <c r="B25" s="550"/>
      <c r="C25" s="153">
        <v>8</v>
      </c>
      <c r="D25" s="154" t="s">
        <v>145</v>
      </c>
      <c r="E25" s="155" t="s">
        <v>69</v>
      </c>
      <c r="F25" s="181">
        <v>280000</v>
      </c>
      <c r="G25" s="181">
        <f t="shared" si="0"/>
        <v>2240000</v>
      </c>
    </row>
    <row r="26" spans="1:7" x14ac:dyDescent="0.2">
      <c r="A26" s="549"/>
      <c r="B26" s="550"/>
      <c r="C26" s="153">
        <v>8</v>
      </c>
      <c r="D26" s="154" t="s">
        <v>145</v>
      </c>
      <c r="E26" s="155" t="s">
        <v>70</v>
      </c>
      <c r="F26" s="181">
        <v>160000</v>
      </c>
      <c r="G26" s="181">
        <f t="shared" si="0"/>
        <v>1280000</v>
      </c>
    </row>
    <row r="27" spans="1:7" x14ac:dyDescent="0.2">
      <c r="A27" s="152">
        <v>2.1</v>
      </c>
      <c r="B27" s="156" t="s">
        <v>71</v>
      </c>
      <c r="C27" s="154">
        <v>8</v>
      </c>
      <c r="D27" s="154" t="s">
        <v>145</v>
      </c>
      <c r="E27" s="156" t="s">
        <v>72</v>
      </c>
      <c r="F27" s="181">
        <v>13200000</v>
      </c>
      <c r="G27" s="181">
        <f t="shared" si="0"/>
        <v>105600000</v>
      </c>
    </row>
    <row r="28" spans="1:7" x14ac:dyDescent="0.2">
      <c r="A28" s="152">
        <v>2.1</v>
      </c>
      <c r="B28" s="156" t="s">
        <v>71</v>
      </c>
      <c r="C28" s="154">
        <v>8</v>
      </c>
      <c r="D28" s="154" t="s">
        <v>145</v>
      </c>
      <c r="E28" s="156" t="s">
        <v>72</v>
      </c>
      <c r="F28" s="181">
        <v>13200000</v>
      </c>
      <c r="G28" s="181">
        <f t="shared" si="0"/>
        <v>105600000</v>
      </c>
    </row>
    <row r="29" spans="1:7" x14ac:dyDescent="0.2">
      <c r="A29" s="152">
        <v>2.1</v>
      </c>
      <c r="B29" s="157" t="s">
        <v>73</v>
      </c>
      <c r="C29" s="151">
        <v>8</v>
      </c>
      <c r="D29" s="151" t="s">
        <v>75</v>
      </c>
      <c r="E29" s="162" t="s">
        <v>74</v>
      </c>
      <c r="F29" s="181">
        <v>700000</v>
      </c>
      <c r="G29" s="181">
        <f t="shared" si="0"/>
        <v>5600000</v>
      </c>
    </row>
    <row r="30" spans="1:7" x14ac:dyDescent="0.2">
      <c r="A30" s="143"/>
      <c r="B30" s="142" t="s">
        <v>177</v>
      </c>
      <c r="C30" s="144"/>
      <c r="D30" s="142"/>
      <c r="E30" s="145"/>
      <c r="F30" s="180"/>
      <c r="G30" s="180"/>
    </row>
    <row r="31" spans="1:7" x14ac:dyDescent="0.2">
      <c r="A31" s="158">
        <v>1</v>
      </c>
      <c r="B31" s="156" t="s">
        <v>78</v>
      </c>
      <c r="C31" s="151">
        <v>1</v>
      </c>
      <c r="D31" s="159" t="s">
        <v>77</v>
      </c>
      <c r="E31" s="162"/>
      <c r="F31" s="181">
        <v>650000</v>
      </c>
      <c r="G31" s="181">
        <f t="shared" si="0"/>
        <v>650000</v>
      </c>
    </row>
    <row r="32" spans="1:7" x14ac:dyDescent="0.2">
      <c r="A32" s="158">
        <f t="shared" ref="A32:A61" si="1">+A31+1</f>
        <v>2</v>
      </c>
      <c r="B32" s="156" t="s">
        <v>79</v>
      </c>
      <c r="C32" s="160">
        <v>30000</v>
      </c>
      <c r="D32" s="159" t="s">
        <v>77</v>
      </c>
      <c r="E32" s="162"/>
      <c r="F32" s="181">
        <v>1300</v>
      </c>
      <c r="G32" s="181">
        <f>+F32*C32</f>
        <v>39000000</v>
      </c>
    </row>
    <row r="33" spans="1:7" x14ac:dyDescent="0.2">
      <c r="A33" s="158">
        <f t="shared" si="1"/>
        <v>3</v>
      </c>
      <c r="B33" s="156" t="s">
        <v>80</v>
      </c>
      <c r="C33" s="151">
        <v>1</v>
      </c>
      <c r="D33" s="159" t="s">
        <v>77</v>
      </c>
      <c r="E33" s="162"/>
      <c r="F33" s="181">
        <v>2100000</v>
      </c>
      <c r="G33" s="181">
        <f t="shared" si="0"/>
        <v>2100000</v>
      </c>
    </row>
    <row r="34" spans="1:7" x14ac:dyDescent="0.2">
      <c r="A34" s="158">
        <f t="shared" si="1"/>
        <v>4</v>
      </c>
      <c r="B34" s="156" t="s">
        <v>81</v>
      </c>
      <c r="C34" s="151">
        <v>2</v>
      </c>
      <c r="D34" s="159" t="s">
        <v>77</v>
      </c>
      <c r="E34" s="162"/>
      <c r="F34" s="181">
        <v>1500000</v>
      </c>
      <c r="G34" s="181">
        <f t="shared" si="0"/>
        <v>3000000</v>
      </c>
    </row>
    <row r="35" spans="1:7" x14ac:dyDescent="0.2">
      <c r="A35" s="158">
        <f t="shared" si="1"/>
        <v>5</v>
      </c>
      <c r="B35" s="156" t="s">
        <v>82</v>
      </c>
      <c r="C35" s="151">
        <v>4</v>
      </c>
      <c r="D35" s="159" t="s">
        <v>77</v>
      </c>
      <c r="E35" s="162"/>
      <c r="F35" s="181">
        <v>1400000</v>
      </c>
      <c r="G35" s="181">
        <f t="shared" si="0"/>
        <v>5600000</v>
      </c>
    </row>
    <row r="36" spans="1:7" x14ac:dyDescent="0.2">
      <c r="A36" s="158">
        <f t="shared" si="1"/>
        <v>6</v>
      </c>
      <c r="B36" s="156" t="s">
        <v>137</v>
      </c>
      <c r="C36" s="151">
        <v>4</v>
      </c>
      <c r="D36" s="159" t="s">
        <v>77</v>
      </c>
      <c r="E36" s="162"/>
      <c r="F36" s="181">
        <v>600000</v>
      </c>
      <c r="G36" s="181">
        <f t="shared" si="0"/>
        <v>2400000</v>
      </c>
    </row>
    <row r="37" spans="1:7" x14ac:dyDescent="0.2">
      <c r="A37" s="158">
        <f t="shared" si="1"/>
        <v>7</v>
      </c>
      <c r="B37" s="156" t="s">
        <v>138</v>
      </c>
      <c r="C37" s="160">
        <v>40000</v>
      </c>
      <c r="D37" s="159" t="s">
        <v>77</v>
      </c>
      <c r="E37" s="162"/>
      <c r="F37" s="184">
        <v>310</v>
      </c>
      <c r="G37" s="181">
        <f t="shared" si="0"/>
        <v>12400000</v>
      </c>
    </row>
    <row r="38" spans="1:7" x14ac:dyDescent="0.2">
      <c r="A38" s="158">
        <f t="shared" si="1"/>
        <v>8</v>
      </c>
      <c r="B38" s="156" t="s">
        <v>139</v>
      </c>
      <c r="C38" s="151">
        <v>2</v>
      </c>
      <c r="D38" s="159" t="s">
        <v>77</v>
      </c>
      <c r="E38" s="162"/>
      <c r="F38" s="181">
        <v>900000</v>
      </c>
      <c r="G38" s="181">
        <f t="shared" si="0"/>
        <v>1800000</v>
      </c>
    </row>
    <row r="39" spans="1:7" x14ac:dyDescent="0.2">
      <c r="A39" s="158">
        <f t="shared" si="1"/>
        <v>9</v>
      </c>
      <c r="B39" s="156" t="s">
        <v>140</v>
      </c>
      <c r="C39" s="160">
        <v>20000</v>
      </c>
      <c r="D39" s="159" t="s">
        <v>77</v>
      </c>
      <c r="E39" s="162"/>
      <c r="F39" s="184">
        <v>360</v>
      </c>
      <c r="G39" s="181">
        <f t="shared" si="0"/>
        <v>7200000</v>
      </c>
    </row>
    <row r="40" spans="1:7" x14ac:dyDescent="0.2">
      <c r="A40" s="158">
        <f t="shared" si="1"/>
        <v>10</v>
      </c>
      <c r="B40" s="156" t="s">
        <v>141</v>
      </c>
      <c r="C40" s="151">
        <v>2</v>
      </c>
      <c r="D40" s="159" t="s">
        <v>77</v>
      </c>
      <c r="E40" s="162"/>
      <c r="F40" s="181">
        <v>1200000</v>
      </c>
      <c r="G40" s="181">
        <f t="shared" si="0"/>
        <v>2400000</v>
      </c>
    </row>
    <row r="41" spans="1:7" x14ac:dyDescent="0.2">
      <c r="A41" s="158">
        <f t="shared" si="1"/>
        <v>11</v>
      </c>
      <c r="B41" s="156" t="s">
        <v>142</v>
      </c>
      <c r="C41" s="160">
        <v>20000</v>
      </c>
      <c r="D41" s="159" t="s">
        <v>77</v>
      </c>
      <c r="E41" s="162"/>
      <c r="F41" s="184">
        <v>360</v>
      </c>
      <c r="G41" s="181">
        <f t="shared" si="0"/>
        <v>7200000</v>
      </c>
    </row>
    <row r="42" spans="1:7" x14ac:dyDescent="0.2">
      <c r="A42" s="158">
        <f t="shared" si="1"/>
        <v>12</v>
      </c>
      <c r="B42" s="156" t="s">
        <v>133</v>
      </c>
      <c r="C42" s="160">
        <v>5000</v>
      </c>
      <c r="D42" s="159" t="s">
        <v>77</v>
      </c>
      <c r="E42" s="162"/>
      <c r="F42" s="181">
        <v>3500</v>
      </c>
      <c r="G42" s="181">
        <f t="shared" si="0"/>
        <v>17500000</v>
      </c>
    </row>
    <row r="43" spans="1:7" ht="28.5" customHeight="1" x14ac:dyDescent="0.2">
      <c r="A43" s="158">
        <f t="shared" si="1"/>
        <v>13</v>
      </c>
      <c r="B43" s="156" t="s">
        <v>188</v>
      </c>
      <c r="C43" s="160">
        <v>5000</v>
      </c>
      <c r="D43" s="159" t="s">
        <v>77</v>
      </c>
      <c r="E43" s="162"/>
      <c r="F43" s="181">
        <v>1800</v>
      </c>
      <c r="G43" s="181">
        <f t="shared" si="0"/>
        <v>9000000</v>
      </c>
    </row>
    <row r="44" spans="1:7" x14ac:dyDescent="0.2">
      <c r="A44" s="158">
        <f t="shared" si="1"/>
        <v>14</v>
      </c>
      <c r="B44" s="156" t="s">
        <v>124</v>
      </c>
      <c r="C44" s="160">
        <v>1</v>
      </c>
      <c r="D44" s="159" t="s">
        <v>77</v>
      </c>
      <c r="E44" s="162"/>
      <c r="F44" s="181">
        <v>800000</v>
      </c>
      <c r="G44" s="181">
        <f t="shared" si="0"/>
        <v>800000</v>
      </c>
    </row>
    <row r="45" spans="1:7" x14ac:dyDescent="0.2">
      <c r="A45" s="158">
        <f t="shared" si="1"/>
        <v>15</v>
      </c>
      <c r="B45" s="161" t="s">
        <v>125</v>
      </c>
      <c r="C45" s="160">
        <v>5000</v>
      </c>
      <c r="D45" s="159" t="s">
        <v>77</v>
      </c>
      <c r="E45" s="162"/>
      <c r="F45" s="181">
        <v>5400</v>
      </c>
      <c r="G45" s="181">
        <f t="shared" si="0"/>
        <v>27000000</v>
      </c>
    </row>
    <row r="46" spans="1:7" x14ac:dyDescent="0.2">
      <c r="A46" s="158">
        <f t="shared" si="1"/>
        <v>16</v>
      </c>
      <c r="B46" s="161" t="s">
        <v>126</v>
      </c>
      <c r="C46" s="151">
        <v>1</v>
      </c>
      <c r="D46" s="159" t="s">
        <v>77</v>
      </c>
      <c r="E46" s="162"/>
      <c r="F46" s="181">
        <v>775000</v>
      </c>
      <c r="G46" s="181">
        <f t="shared" si="0"/>
        <v>775000</v>
      </c>
    </row>
    <row r="47" spans="1:7" x14ac:dyDescent="0.2">
      <c r="A47" s="158">
        <f t="shared" si="1"/>
        <v>17</v>
      </c>
      <c r="B47" s="161" t="s">
        <v>134</v>
      </c>
      <c r="C47" s="160">
        <v>5000</v>
      </c>
      <c r="D47" s="159" t="s">
        <v>77</v>
      </c>
      <c r="E47" s="162"/>
      <c r="F47" s="181">
        <v>4000</v>
      </c>
      <c r="G47" s="181">
        <f t="shared" si="0"/>
        <v>20000000</v>
      </c>
    </row>
    <row r="48" spans="1:7" x14ac:dyDescent="0.2">
      <c r="A48" s="158">
        <f t="shared" si="1"/>
        <v>18</v>
      </c>
      <c r="B48" s="156" t="s">
        <v>83</v>
      </c>
      <c r="C48" s="151">
        <v>5</v>
      </c>
      <c r="D48" s="159" t="s">
        <v>77</v>
      </c>
      <c r="E48" s="162"/>
      <c r="F48" s="181">
        <v>650000</v>
      </c>
      <c r="G48" s="181">
        <f t="shared" si="0"/>
        <v>3250000</v>
      </c>
    </row>
    <row r="49" spans="1:7" ht="25.5" x14ac:dyDescent="0.2">
      <c r="A49" s="158">
        <f t="shared" si="1"/>
        <v>19</v>
      </c>
      <c r="B49" s="156" t="s">
        <v>135</v>
      </c>
      <c r="C49" s="148">
        <v>40</v>
      </c>
      <c r="D49" s="159" t="s">
        <v>77</v>
      </c>
      <c r="E49" s="162" t="s">
        <v>156</v>
      </c>
      <c r="F49" s="181">
        <v>290000</v>
      </c>
      <c r="G49" s="181">
        <f t="shared" si="0"/>
        <v>11600000</v>
      </c>
    </row>
    <row r="50" spans="1:7" x14ac:dyDescent="0.2">
      <c r="A50" s="158">
        <f t="shared" si="1"/>
        <v>20</v>
      </c>
      <c r="B50" s="156" t="s">
        <v>84</v>
      </c>
      <c r="C50" s="151">
        <v>1</v>
      </c>
      <c r="D50" s="159" t="s">
        <v>77</v>
      </c>
      <c r="E50" s="162"/>
      <c r="F50" s="181">
        <v>650000</v>
      </c>
      <c r="G50" s="181">
        <f t="shared" si="0"/>
        <v>650000</v>
      </c>
    </row>
    <row r="51" spans="1:7" ht="25.5" x14ac:dyDescent="0.2">
      <c r="A51" s="158">
        <f t="shared" si="1"/>
        <v>21</v>
      </c>
      <c r="B51" s="156" t="s">
        <v>85</v>
      </c>
      <c r="C51" s="151">
        <v>2</v>
      </c>
      <c r="D51" s="159" t="s">
        <v>77</v>
      </c>
      <c r="E51" s="162" t="s">
        <v>156</v>
      </c>
      <c r="F51" s="181">
        <v>390000</v>
      </c>
      <c r="G51" s="181">
        <f t="shared" si="0"/>
        <v>780000</v>
      </c>
    </row>
    <row r="52" spans="1:7" x14ac:dyDescent="0.2">
      <c r="A52" s="158">
        <f t="shared" si="1"/>
        <v>22</v>
      </c>
      <c r="B52" s="156" t="s">
        <v>86</v>
      </c>
      <c r="C52" s="151">
        <v>1</v>
      </c>
      <c r="D52" s="159" t="s">
        <v>77</v>
      </c>
      <c r="E52" s="162"/>
      <c r="F52" s="181">
        <v>730000</v>
      </c>
      <c r="G52" s="181">
        <f t="shared" si="0"/>
        <v>730000</v>
      </c>
    </row>
    <row r="53" spans="1:7" ht="38.25" x14ac:dyDescent="0.2">
      <c r="A53" s="158">
        <f t="shared" si="1"/>
        <v>23</v>
      </c>
      <c r="B53" s="156" t="s">
        <v>87</v>
      </c>
      <c r="C53" s="151">
        <v>1</v>
      </c>
      <c r="D53" s="159" t="s">
        <v>77</v>
      </c>
      <c r="E53" s="162" t="s">
        <v>157</v>
      </c>
      <c r="F53" s="181">
        <v>280000</v>
      </c>
      <c r="G53" s="181">
        <f t="shared" si="0"/>
        <v>280000</v>
      </c>
    </row>
    <row r="54" spans="1:7" x14ac:dyDescent="0.2">
      <c r="A54" s="158">
        <f t="shared" si="1"/>
        <v>24</v>
      </c>
      <c r="B54" s="156" t="s">
        <v>88</v>
      </c>
      <c r="C54" s="151">
        <v>1</v>
      </c>
      <c r="D54" s="159" t="s">
        <v>77</v>
      </c>
      <c r="E54" s="162"/>
      <c r="F54" s="181">
        <v>730000</v>
      </c>
      <c r="G54" s="181">
        <f t="shared" si="0"/>
        <v>730000</v>
      </c>
    </row>
    <row r="55" spans="1:7" ht="38.25" x14ac:dyDescent="0.2">
      <c r="A55" s="158">
        <f t="shared" si="1"/>
        <v>25</v>
      </c>
      <c r="B55" s="156" t="s">
        <v>89</v>
      </c>
      <c r="C55" s="151">
        <v>2</v>
      </c>
      <c r="D55" s="159" t="s">
        <v>77</v>
      </c>
      <c r="E55" s="162" t="s">
        <v>157</v>
      </c>
      <c r="F55" s="181">
        <v>540000</v>
      </c>
      <c r="G55" s="181">
        <f t="shared" si="0"/>
        <v>1080000</v>
      </c>
    </row>
    <row r="56" spans="1:7" x14ac:dyDescent="0.2">
      <c r="A56" s="158">
        <f>+A55+1</f>
        <v>26</v>
      </c>
      <c r="B56" s="156" t="s">
        <v>90</v>
      </c>
      <c r="C56" s="151">
        <v>1</v>
      </c>
      <c r="D56" s="159" t="s">
        <v>77</v>
      </c>
      <c r="E56" s="162"/>
      <c r="F56" s="181">
        <v>790000</v>
      </c>
      <c r="G56" s="181">
        <f t="shared" si="0"/>
        <v>790000</v>
      </c>
    </row>
    <row r="57" spans="1:7" ht="38.25" x14ac:dyDescent="0.2">
      <c r="A57" s="158">
        <f t="shared" si="1"/>
        <v>27</v>
      </c>
      <c r="B57" s="156" t="s">
        <v>91</v>
      </c>
      <c r="C57" s="151">
        <v>2</v>
      </c>
      <c r="D57" s="159" t="s">
        <v>77</v>
      </c>
      <c r="E57" s="162" t="s">
        <v>157</v>
      </c>
      <c r="F57" s="181" t="s">
        <v>190</v>
      </c>
      <c r="G57" s="181" t="s">
        <v>190</v>
      </c>
    </row>
    <row r="58" spans="1:7" x14ac:dyDescent="0.2">
      <c r="A58" s="158">
        <f t="shared" si="1"/>
        <v>28</v>
      </c>
      <c r="B58" s="156" t="s">
        <v>92</v>
      </c>
      <c r="C58" s="151">
        <v>1</v>
      </c>
      <c r="D58" s="159" t="s">
        <v>77</v>
      </c>
      <c r="E58" s="162"/>
      <c r="F58" s="181">
        <v>920000</v>
      </c>
      <c r="G58" s="181">
        <f t="shared" si="0"/>
        <v>920000</v>
      </c>
    </row>
    <row r="59" spans="1:7" ht="38.25" x14ac:dyDescent="0.2">
      <c r="A59" s="158">
        <f t="shared" si="1"/>
        <v>29</v>
      </c>
      <c r="B59" s="156" t="s">
        <v>93</v>
      </c>
      <c r="C59" s="151">
        <v>1</v>
      </c>
      <c r="D59" s="159" t="s">
        <v>77</v>
      </c>
      <c r="E59" s="162" t="s">
        <v>157</v>
      </c>
      <c r="F59" s="181" t="s">
        <v>190</v>
      </c>
      <c r="G59" s="181" t="s">
        <v>190</v>
      </c>
    </row>
    <row r="60" spans="1:7" x14ac:dyDescent="0.2">
      <c r="A60" s="158">
        <f t="shared" si="1"/>
        <v>30</v>
      </c>
      <c r="B60" s="156" t="s">
        <v>94</v>
      </c>
      <c r="C60" s="151">
        <v>1</v>
      </c>
      <c r="D60" s="159" t="s">
        <v>77</v>
      </c>
      <c r="E60" s="162"/>
      <c r="F60" s="181">
        <v>920000</v>
      </c>
      <c r="G60" s="181">
        <f t="shared" si="0"/>
        <v>920000</v>
      </c>
    </row>
    <row r="61" spans="1:7" ht="38.25" x14ac:dyDescent="0.2">
      <c r="A61" s="158">
        <f t="shared" si="1"/>
        <v>31</v>
      </c>
      <c r="B61" s="156" t="s">
        <v>95</v>
      </c>
      <c r="C61" s="151">
        <v>1</v>
      </c>
      <c r="D61" s="159" t="s">
        <v>77</v>
      </c>
      <c r="E61" s="162" t="s">
        <v>157</v>
      </c>
      <c r="F61" s="181" t="s">
        <v>190</v>
      </c>
      <c r="G61" s="181" t="s">
        <v>190</v>
      </c>
    </row>
    <row r="62" spans="1:7" hidden="1" x14ac:dyDescent="0.2">
      <c r="A62" s="158">
        <f t="shared" ref="A62:A67" si="2">+A61+1</f>
        <v>32</v>
      </c>
      <c r="B62" s="156" t="s">
        <v>96</v>
      </c>
      <c r="C62" s="151">
        <v>1</v>
      </c>
      <c r="D62" s="159" t="s">
        <v>77</v>
      </c>
      <c r="E62" s="162"/>
      <c r="F62" s="181"/>
      <c r="G62" s="181">
        <f t="shared" si="0"/>
        <v>0</v>
      </c>
    </row>
    <row r="63" spans="1:7" hidden="1" x14ac:dyDescent="0.2">
      <c r="A63" s="158">
        <f t="shared" si="2"/>
        <v>33</v>
      </c>
      <c r="B63" s="156" t="s">
        <v>97</v>
      </c>
      <c r="C63" s="151">
        <v>1</v>
      </c>
      <c r="D63" s="159" t="s">
        <v>77</v>
      </c>
      <c r="E63" s="162"/>
      <c r="F63" s="181"/>
      <c r="G63" s="181">
        <f t="shared" si="0"/>
        <v>0</v>
      </c>
    </row>
    <row r="64" spans="1:7" hidden="1" x14ac:dyDescent="0.2">
      <c r="A64" s="158">
        <f t="shared" si="2"/>
        <v>34</v>
      </c>
      <c r="B64" s="156" t="s">
        <v>98</v>
      </c>
      <c r="C64" s="151">
        <v>1</v>
      </c>
      <c r="D64" s="159" t="s">
        <v>77</v>
      </c>
      <c r="E64" s="162"/>
      <c r="F64" s="181"/>
      <c r="G64" s="181">
        <f t="shared" si="0"/>
        <v>0</v>
      </c>
    </row>
    <row r="65" spans="1:7" hidden="1" x14ac:dyDescent="0.2">
      <c r="A65" s="158">
        <f t="shared" si="2"/>
        <v>35</v>
      </c>
      <c r="B65" s="156" t="s">
        <v>99</v>
      </c>
      <c r="C65" s="151">
        <v>1</v>
      </c>
      <c r="D65" s="159" t="s">
        <v>77</v>
      </c>
      <c r="E65" s="162"/>
      <c r="F65" s="181"/>
      <c r="G65" s="181">
        <f t="shared" si="0"/>
        <v>0</v>
      </c>
    </row>
    <row r="66" spans="1:7" hidden="1" x14ac:dyDescent="0.2">
      <c r="A66" s="158">
        <f t="shared" si="2"/>
        <v>36</v>
      </c>
      <c r="B66" s="156" t="s">
        <v>100</v>
      </c>
      <c r="C66" s="151">
        <v>1</v>
      </c>
      <c r="D66" s="154" t="s">
        <v>77</v>
      </c>
      <c r="E66" s="162"/>
      <c r="F66" s="181"/>
      <c r="G66" s="181">
        <f t="shared" si="0"/>
        <v>0</v>
      </c>
    </row>
    <row r="67" spans="1:7" x14ac:dyDescent="0.2">
      <c r="A67" s="158">
        <f t="shared" si="2"/>
        <v>37</v>
      </c>
      <c r="B67" s="156" t="s">
        <v>155</v>
      </c>
      <c r="C67" s="151">
        <v>5000</v>
      </c>
      <c r="D67" s="159"/>
      <c r="E67" s="162"/>
      <c r="F67" s="181">
        <v>3200</v>
      </c>
      <c r="G67" s="181">
        <f t="shared" si="0"/>
        <v>16000000</v>
      </c>
    </row>
    <row r="68" spans="1:7" ht="14.25" customHeight="1" x14ac:dyDescent="0.2">
      <c r="A68" s="143"/>
      <c r="B68" s="551" t="s">
        <v>178</v>
      </c>
      <c r="C68" s="552"/>
      <c r="D68" s="552"/>
      <c r="E68" s="552"/>
      <c r="F68" s="552"/>
      <c r="G68" s="553"/>
    </row>
    <row r="69" spans="1:7" x14ac:dyDescent="0.2">
      <c r="A69" s="158">
        <v>1</v>
      </c>
      <c r="B69" s="156" t="s">
        <v>163</v>
      </c>
      <c r="C69" s="160"/>
      <c r="D69" s="159"/>
      <c r="E69" s="162"/>
      <c r="F69" s="181">
        <v>1200000</v>
      </c>
      <c r="G69" s="181">
        <v>1200000</v>
      </c>
    </row>
    <row r="70" spans="1:7" x14ac:dyDescent="0.2">
      <c r="A70" s="158">
        <v>2</v>
      </c>
      <c r="B70" s="156" t="s">
        <v>164</v>
      </c>
      <c r="C70" s="160">
        <v>58500</v>
      </c>
      <c r="D70" s="159" t="s">
        <v>77</v>
      </c>
      <c r="E70" s="162"/>
      <c r="F70" s="181">
        <v>270</v>
      </c>
      <c r="G70" s="181">
        <f t="shared" si="0"/>
        <v>15795000</v>
      </c>
    </row>
    <row r="71" spans="1:7" ht="25.5" x14ac:dyDescent="0.2">
      <c r="A71" s="158">
        <v>3</v>
      </c>
      <c r="B71" s="156" t="s">
        <v>165</v>
      </c>
      <c r="C71" s="160"/>
      <c r="D71" s="159"/>
      <c r="E71" s="162"/>
      <c r="F71" s="181">
        <v>2300000</v>
      </c>
      <c r="G71" s="181">
        <v>2300000</v>
      </c>
    </row>
    <row r="72" spans="1:7" ht="30.75" customHeight="1" x14ac:dyDescent="0.2">
      <c r="A72" s="158">
        <v>4</v>
      </c>
      <c r="B72" s="156" t="s">
        <v>166</v>
      </c>
      <c r="C72" s="160">
        <v>29250</v>
      </c>
      <c r="D72" s="159" t="s">
        <v>77</v>
      </c>
      <c r="E72" s="162"/>
      <c r="F72" s="181">
        <v>1900</v>
      </c>
      <c r="G72" s="181">
        <f t="shared" si="0"/>
        <v>55575000</v>
      </c>
    </row>
    <row r="73" spans="1:7" ht="27.75" customHeight="1" x14ac:dyDescent="0.2">
      <c r="A73" s="158">
        <v>5</v>
      </c>
      <c r="B73" s="156" t="s">
        <v>167</v>
      </c>
      <c r="C73" s="160"/>
      <c r="D73" s="159"/>
      <c r="E73" s="162"/>
      <c r="F73" s="181">
        <v>2500000</v>
      </c>
      <c r="G73" s="181">
        <v>2500000</v>
      </c>
    </row>
    <row r="74" spans="1:7" ht="30" customHeight="1" x14ac:dyDescent="0.2">
      <c r="A74" s="158">
        <v>6</v>
      </c>
      <c r="B74" s="156" t="s">
        <v>168</v>
      </c>
      <c r="C74" s="160">
        <v>29250</v>
      </c>
      <c r="D74" s="159" t="s">
        <v>77</v>
      </c>
      <c r="E74" s="162"/>
      <c r="F74" s="181">
        <v>2800</v>
      </c>
      <c r="G74" s="181">
        <f t="shared" si="0"/>
        <v>81900000</v>
      </c>
    </row>
    <row r="75" spans="1:7" x14ac:dyDescent="0.2">
      <c r="A75" s="158">
        <v>7</v>
      </c>
      <c r="B75" s="156" t="s">
        <v>149</v>
      </c>
      <c r="C75" s="160">
        <v>29250</v>
      </c>
      <c r="D75" s="159" t="s">
        <v>77</v>
      </c>
      <c r="E75" s="162"/>
      <c r="F75" s="181">
        <v>25000</v>
      </c>
      <c r="G75" s="181">
        <f t="shared" si="0"/>
        <v>731250000</v>
      </c>
    </row>
    <row r="76" spans="1:7" ht="24" customHeight="1" x14ac:dyDescent="0.2">
      <c r="A76" s="158">
        <v>8</v>
      </c>
      <c r="B76" s="156" t="s">
        <v>150</v>
      </c>
      <c r="C76" s="160">
        <v>29250</v>
      </c>
      <c r="D76" s="159" t="s">
        <v>77</v>
      </c>
      <c r="E76" s="162"/>
      <c r="F76" s="181">
        <v>3500</v>
      </c>
      <c r="G76" s="181">
        <f t="shared" si="0"/>
        <v>102375000</v>
      </c>
    </row>
    <row r="77" spans="1:7" ht="58.5" customHeight="1" x14ac:dyDescent="0.2">
      <c r="A77" s="146">
        <v>9</v>
      </c>
      <c r="B77" s="156" t="s">
        <v>76</v>
      </c>
      <c r="C77" s="160">
        <v>29250</v>
      </c>
      <c r="D77" s="159" t="s">
        <v>77</v>
      </c>
      <c r="E77" s="162" t="s">
        <v>159</v>
      </c>
      <c r="F77" s="181">
        <v>9200</v>
      </c>
      <c r="G77" s="181">
        <f t="shared" ref="G77:G81" si="3">+F77*C77</f>
        <v>269100000</v>
      </c>
    </row>
    <row r="78" spans="1:7" ht="14.25" customHeight="1" x14ac:dyDescent="0.2">
      <c r="A78" s="143"/>
      <c r="B78" s="142" t="s">
        <v>179</v>
      </c>
      <c r="C78" s="144"/>
      <c r="D78" s="142"/>
      <c r="E78" s="145"/>
      <c r="F78" s="180"/>
      <c r="G78" s="180"/>
    </row>
    <row r="79" spans="1:7" x14ac:dyDescent="0.2">
      <c r="A79" s="158" t="s">
        <v>180</v>
      </c>
      <c r="B79" s="156" t="s">
        <v>143</v>
      </c>
      <c r="C79" s="151">
        <v>1</v>
      </c>
      <c r="D79" s="159" t="s">
        <v>106</v>
      </c>
      <c r="E79" s="162" t="s">
        <v>130</v>
      </c>
      <c r="F79" s="181">
        <v>3200000</v>
      </c>
      <c r="G79" s="181">
        <f t="shared" si="3"/>
        <v>3200000</v>
      </c>
    </row>
    <row r="80" spans="1:7" x14ac:dyDescent="0.2">
      <c r="A80" s="158" t="s">
        <v>181</v>
      </c>
      <c r="B80" s="156" t="s">
        <v>118</v>
      </c>
      <c r="C80" s="151">
        <v>1</v>
      </c>
      <c r="D80" s="159" t="s">
        <v>119</v>
      </c>
      <c r="E80" s="163" t="s">
        <v>109</v>
      </c>
      <c r="F80" s="181">
        <v>15600000</v>
      </c>
      <c r="G80" s="181">
        <f t="shared" si="3"/>
        <v>15600000</v>
      </c>
    </row>
    <row r="81" spans="1:8" ht="42" customHeight="1" x14ac:dyDescent="0.2">
      <c r="A81" s="158" t="s">
        <v>182</v>
      </c>
      <c r="B81" s="156" t="s">
        <v>120</v>
      </c>
      <c r="C81" s="160">
        <v>4000</v>
      </c>
      <c r="D81" s="159" t="s">
        <v>108</v>
      </c>
      <c r="E81" s="164" t="s">
        <v>158</v>
      </c>
      <c r="F81" s="181">
        <v>900</v>
      </c>
      <c r="G81" s="181">
        <f t="shared" si="3"/>
        <v>3600000</v>
      </c>
    </row>
    <row r="82" spans="1:8" ht="25.5" hidden="1" x14ac:dyDescent="0.2">
      <c r="A82" s="143"/>
      <c r="B82" s="165" t="s">
        <v>121</v>
      </c>
      <c r="C82" s="144"/>
      <c r="D82" s="142"/>
      <c r="E82" s="145"/>
      <c r="F82" s="180"/>
      <c r="G82" s="180"/>
    </row>
    <row r="83" spans="1:8" hidden="1" x14ac:dyDescent="0.2">
      <c r="A83" s="158"/>
      <c r="B83" s="156" t="s">
        <v>122</v>
      </c>
      <c r="C83" s="151"/>
      <c r="D83" s="159"/>
      <c r="E83" s="162"/>
      <c r="F83" s="181"/>
      <c r="G83" s="181"/>
    </row>
    <row r="84" spans="1:8" x14ac:dyDescent="0.2">
      <c r="A84" s="143"/>
      <c r="B84" s="165" t="s">
        <v>183</v>
      </c>
      <c r="C84" s="144"/>
      <c r="D84" s="142"/>
      <c r="E84" s="145"/>
      <c r="F84" s="180"/>
      <c r="G84" s="180"/>
    </row>
    <row r="85" spans="1:8" ht="38.25" x14ac:dyDescent="0.2">
      <c r="A85" s="146" t="s">
        <v>184</v>
      </c>
      <c r="B85" s="147" t="s">
        <v>162</v>
      </c>
      <c r="C85" s="148">
        <v>1</v>
      </c>
      <c r="D85" s="166" t="s">
        <v>77</v>
      </c>
      <c r="E85" s="163" t="s">
        <v>169</v>
      </c>
      <c r="F85" s="184">
        <v>100000000</v>
      </c>
      <c r="G85" s="181">
        <v>100000000</v>
      </c>
    </row>
    <row r="86" spans="1:8" x14ac:dyDescent="0.2">
      <c r="A86" s="167"/>
      <c r="B86" s="168" t="s">
        <v>185</v>
      </c>
      <c r="C86" s="169"/>
      <c r="D86" s="168"/>
      <c r="E86" s="170"/>
      <c r="F86" s="180"/>
      <c r="G86" s="180"/>
    </row>
    <row r="87" spans="1:8" ht="169.5" customHeight="1" x14ac:dyDescent="0.2">
      <c r="A87" s="146">
        <v>2.6</v>
      </c>
      <c r="B87" s="156" t="s">
        <v>103</v>
      </c>
      <c r="C87" s="151">
        <v>10</v>
      </c>
      <c r="D87" s="154" t="s">
        <v>105</v>
      </c>
      <c r="E87" s="149" t="s">
        <v>104</v>
      </c>
      <c r="F87" s="184">
        <v>35000000</v>
      </c>
      <c r="G87" s="181">
        <f>C87*F87</f>
        <v>350000000</v>
      </c>
      <c r="H87" s="171"/>
    </row>
    <row r="88" spans="1:8" x14ac:dyDescent="0.2">
      <c r="G88" s="178">
        <f>+SUM(G69:G87)+SUM(G12:G67)</f>
        <v>3061310000</v>
      </c>
    </row>
  </sheetData>
  <mergeCells count="5">
    <mergeCell ref="B68:G68"/>
    <mergeCell ref="A8:G8"/>
    <mergeCell ref="A9:B9"/>
    <mergeCell ref="B24:B26"/>
    <mergeCell ref="A24:A26"/>
  </mergeCells>
  <pageMargins left="0.70866141732283472" right="0.70866141732283472" top="0.74803149606299213" bottom="0.74803149606299213" header="0.31496062992125984" footer="0.31496062992125984"/>
  <pageSetup scale="57" orientation="landscape"/>
  <rowBreaks count="2" manualBreakCount="2">
    <brk id="43" max="6" man="1"/>
    <brk id="83" max="6" man="1"/>
  </rowBreaks>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7"/>
  <sheetViews>
    <sheetView zoomScale="140" zoomScaleNormal="140" workbookViewId="0">
      <pane ySplit="11" topLeftCell="A72" activePane="bottomLeft" state="frozen"/>
      <selection activeCell="B66" sqref="B66"/>
      <selection pane="bottomLeft" activeCell="B66" sqref="B66"/>
    </sheetView>
  </sheetViews>
  <sheetFormatPr baseColWidth="10" defaultColWidth="10.85546875" defaultRowHeight="12.75" x14ac:dyDescent="0.2"/>
  <cols>
    <col min="1" max="1" width="7.42578125" style="172" bestFit="1" customWidth="1"/>
    <col min="2" max="2" width="83" style="212" customWidth="1"/>
    <col min="3" max="3" width="14.140625" style="187" customWidth="1"/>
    <col min="4" max="4" width="16.140625" style="187" customWidth="1"/>
    <col min="5" max="5" width="82.7109375" style="175" customWidth="1"/>
    <col min="6" max="6" width="24.85546875" style="187" customWidth="1"/>
    <col min="7" max="7" width="25.7109375" style="188" customWidth="1"/>
    <col min="8" max="8" width="24.5703125" style="189" customWidth="1"/>
    <col min="9" max="16384" width="10.85546875" style="137"/>
  </cols>
  <sheetData>
    <row r="1" spans="1:8" ht="15" x14ac:dyDescent="0.25">
      <c r="B1" s="186" t="s">
        <v>195</v>
      </c>
      <c r="C1" t="s">
        <v>224</v>
      </c>
    </row>
    <row r="2" spans="1:8" x14ac:dyDescent="0.2">
      <c r="B2" s="186" t="s">
        <v>196</v>
      </c>
    </row>
    <row r="3" spans="1:8" x14ac:dyDescent="0.2">
      <c r="B3" s="186" t="s">
        <v>197</v>
      </c>
    </row>
    <row r="4" spans="1:8" x14ac:dyDescent="0.2">
      <c r="B4" s="186" t="s">
        <v>161</v>
      </c>
    </row>
    <row r="5" spans="1:8" x14ac:dyDescent="0.2">
      <c r="B5" s="186" t="s">
        <v>160</v>
      </c>
    </row>
    <row r="6" spans="1:8" x14ac:dyDescent="0.2">
      <c r="B6" s="186" t="s">
        <v>198</v>
      </c>
    </row>
    <row r="8" spans="1:8" ht="15" customHeight="1" x14ac:dyDescent="0.2">
      <c r="A8" s="544" t="s">
        <v>102</v>
      </c>
      <c r="B8" s="544"/>
      <c r="C8" s="544"/>
      <c r="D8" s="544"/>
      <c r="E8" s="544"/>
      <c r="F8" s="544"/>
      <c r="G8" s="544"/>
      <c r="H8" s="555" t="s">
        <v>199</v>
      </c>
    </row>
    <row r="9" spans="1:8" ht="25.5" x14ac:dyDescent="0.2">
      <c r="A9" s="545" t="s">
        <v>62</v>
      </c>
      <c r="B9" s="546"/>
      <c r="C9" s="190" t="s">
        <v>63</v>
      </c>
      <c r="D9" s="190" t="s">
        <v>64</v>
      </c>
      <c r="E9" s="185" t="s">
        <v>65</v>
      </c>
      <c r="F9" s="191" t="s">
        <v>101</v>
      </c>
      <c r="G9" s="192" t="s">
        <v>61</v>
      </c>
      <c r="H9" s="555"/>
    </row>
    <row r="10" spans="1:8" x14ac:dyDescent="0.2">
      <c r="A10" s="141"/>
      <c r="B10" s="193" t="s">
        <v>117</v>
      </c>
      <c r="C10" s="194"/>
      <c r="D10" s="190"/>
      <c r="E10" s="185"/>
      <c r="F10" s="191"/>
      <c r="G10" s="192"/>
      <c r="H10" s="555"/>
    </row>
    <row r="11" spans="1:8" x14ac:dyDescent="0.2">
      <c r="A11" s="143" t="s">
        <v>129</v>
      </c>
      <c r="B11" s="193" t="s">
        <v>170</v>
      </c>
      <c r="C11" s="195"/>
      <c r="D11" s="196"/>
      <c r="E11" s="145"/>
      <c r="F11" s="196"/>
      <c r="G11" s="197"/>
      <c r="H11" s="555"/>
    </row>
    <row r="12" spans="1:8" ht="91.5" customHeight="1" x14ac:dyDescent="0.2">
      <c r="A12" s="146" t="s">
        <v>171</v>
      </c>
      <c r="B12" s="198" t="s">
        <v>127</v>
      </c>
      <c r="C12" s="199">
        <v>3</v>
      </c>
      <c r="D12" s="199" t="s">
        <v>111</v>
      </c>
      <c r="E12" s="149" t="s">
        <v>131</v>
      </c>
      <c r="F12" s="200">
        <v>143260000</v>
      </c>
      <c r="G12" s="200">
        <f>F12*C12</f>
        <v>429780000</v>
      </c>
      <c r="H12" s="201" t="s">
        <v>200</v>
      </c>
    </row>
    <row r="13" spans="1:8" ht="99" customHeight="1" x14ac:dyDescent="0.2">
      <c r="A13" s="150" t="s">
        <v>171</v>
      </c>
      <c r="B13" s="198" t="s">
        <v>128</v>
      </c>
      <c r="C13" s="199">
        <v>2</v>
      </c>
      <c r="D13" s="199" t="s">
        <v>111</v>
      </c>
      <c r="E13" s="149" t="s">
        <v>132</v>
      </c>
      <c r="F13" s="200">
        <v>120640000</v>
      </c>
      <c r="G13" s="200">
        <f t="shared" ref="G13:G49" si="0">F13*C13</f>
        <v>241280000</v>
      </c>
      <c r="H13" s="201" t="s">
        <v>201</v>
      </c>
    </row>
    <row r="14" spans="1:8" ht="162" customHeight="1" x14ac:dyDescent="0.2">
      <c r="A14" s="150" t="s">
        <v>171</v>
      </c>
      <c r="B14" s="198" t="s">
        <v>186</v>
      </c>
      <c r="C14" s="199">
        <v>5</v>
      </c>
      <c r="D14" s="199" t="s">
        <v>110</v>
      </c>
      <c r="E14" s="149" t="s">
        <v>136</v>
      </c>
      <c r="F14" s="200">
        <v>180960000</v>
      </c>
      <c r="G14" s="200">
        <f t="shared" si="0"/>
        <v>904800000</v>
      </c>
      <c r="H14" s="201" t="s">
        <v>202</v>
      </c>
    </row>
    <row r="15" spans="1:8" ht="162.75" customHeight="1" x14ac:dyDescent="0.2">
      <c r="A15" s="146" t="s">
        <v>171</v>
      </c>
      <c r="B15" s="198" t="s">
        <v>187</v>
      </c>
      <c r="C15" s="199">
        <v>5</v>
      </c>
      <c r="D15" s="199" t="s">
        <v>110</v>
      </c>
      <c r="E15" s="149" t="s">
        <v>112</v>
      </c>
      <c r="F15" s="200">
        <v>226200000</v>
      </c>
      <c r="G15" s="200">
        <f t="shared" si="0"/>
        <v>1131000000</v>
      </c>
      <c r="H15" s="201" t="s">
        <v>202</v>
      </c>
    </row>
    <row r="16" spans="1:8" ht="25.5" x14ac:dyDescent="0.2">
      <c r="A16" s="146" t="s">
        <v>172</v>
      </c>
      <c r="B16" s="198" t="s">
        <v>113</v>
      </c>
      <c r="C16" s="199">
        <v>6</v>
      </c>
      <c r="D16" s="199" t="s">
        <v>114</v>
      </c>
      <c r="E16" s="149" t="s">
        <v>115</v>
      </c>
      <c r="F16" s="200">
        <v>64693200</v>
      </c>
      <c r="G16" s="200">
        <f t="shared" si="0"/>
        <v>388159200</v>
      </c>
      <c r="H16" s="201" t="s">
        <v>202</v>
      </c>
    </row>
    <row r="17" spans="1:8" ht="43.5" customHeight="1" x14ac:dyDescent="0.2">
      <c r="A17" s="146" t="s">
        <v>173</v>
      </c>
      <c r="B17" s="198" t="s">
        <v>107</v>
      </c>
      <c r="C17" s="199">
        <v>16</v>
      </c>
      <c r="D17" s="199" t="s">
        <v>123</v>
      </c>
      <c r="E17" s="149" t="s">
        <v>116</v>
      </c>
      <c r="F17" s="200">
        <v>180000000</v>
      </c>
      <c r="G17" s="200">
        <f t="shared" si="0"/>
        <v>2880000000</v>
      </c>
      <c r="H17" s="201" t="s">
        <v>202</v>
      </c>
    </row>
    <row r="18" spans="1:8" ht="285.75" customHeight="1" x14ac:dyDescent="0.2">
      <c r="A18" s="152" t="s">
        <v>174</v>
      </c>
      <c r="B18" s="198" t="s">
        <v>151</v>
      </c>
      <c r="C18" s="199">
        <v>2</v>
      </c>
      <c r="D18" s="199" t="s">
        <v>145</v>
      </c>
      <c r="E18" s="149" t="s">
        <v>152</v>
      </c>
      <c r="F18" s="221">
        <f>250800000</f>
        <v>250800000</v>
      </c>
      <c r="G18" s="200">
        <f t="shared" si="0"/>
        <v>501600000</v>
      </c>
      <c r="H18" s="201" t="s">
        <v>202</v>
      </c>
    </row>
    <row r="19" spans="1:8" ht="270" customHeight="1" x14ac:dyDescent="0.2">
      <c r="A19" s="152">
        <v>2.4</v>
      </c>
      <c r="B19" s="198" t="s">
        <v>176</v>
      </c>
      <c r="C19" s="199">
        <v>2</v>
      </c>
      <c r="D19" s="199" t="s">
        <v>145</v>
      </c>
      <c r="E19" s="149" t="s">
        <v>175</v>
      </c>
      <c r="F19" s="221">
        <f>300800000</f>
        <v>300800000</v>
      </c>
      <c r="G19" s="200">
        <f t="shared" si="0"/>
        <v>601600000</v>
      </c>
      <c r="H19" s="201" t="s">
        <v>202</v>
      </c>
    </row>
    <row r="20" spans="1:8" ht="270" customHeight="1" x14ac:dyDescent="0.2">
      <c r="A20" s="152">
        <v>2.4</v>
      </c>
      <c r="B20" s="198" t="s">
        <v>153</v>
      </c>
      <c r="C20" s="199">
        <v>2</v>
      </c>
      <c r="D20" s="199" t="s">
        <v>145</v>
      </c>
      <c r="E20" s="149" t="s">
        <v>154</v>
      </c>
      <c r="F20" s="221">
        <f>150800000</f>
        <v>150800000</v>
      </c>
      <c r="G20" s="221">
        <f t="shared" si="0"/>
        <v>301600000</v>
      </c>
      <c r="H20" s="222" t="s">
        <v>202</v>
      </c>
    </row>
    <row r="21" spans="1:8" ht="55.5" customHeight="1" x14ac:dyDescent="0.2">
      <c r="A21" s="152">
        <v>2</v>
      </c>
      <c r="B21" s="198" t="s">
        <v>144</v>
      </c>
      <c r="C21" s="202">
        <v>10</v>
      </c>
      <c r="D21" s="202" t="s">
        <v>145</v>
      </c>
      <c r="E21" s="147" t="s">
        <v>146</v>
      </c>
      <c r="F21" s="200">
        <v>603200</v>
      </c>
      <c r="G21" s="200">
        <f t="shared" si="0"/>
        <v>6032000</v>
      </c>
      <c r="H21" s="201"/>
    </row>
    <row r="22" spans="1:8" ht="216.75" customHeight="1" x14ac:dyDescent="0.2">
      <c r="A22" s="152">
        <v>2.1</v>
      </c>
      <c r="B22" s="198" t="s">
        <v>203</v>
      </c>
      <c r="C22" s="202">
        <v>48</v>
      </c>
      <c r="D22" s="202" t="s">
        <v>145</v>
      </c>
      <c r="E22" s="147" t="s">
        <v>147</v>
      </c>
      <c r="F22" s="200">
        <f>15080000/8</f>
        <v>1885000</v>
      </c>
      <c r="G22" s="200">
        <f t="shared" si="0"/>
        <v>90480000</v>
      </c>
      <c r="H22" s="201" t="s">
        <v>202</v>
      </c>
    </row>
    <row r="23" spans="1:8" ht="68.25" customHeight="1" x14ac:dyDescent="0.2">
      <c r="A23" s="152">
        <v>2.1</v>
      </c>
      <c r="B23" s="198" t="s">
        <v>148</v>
      </c>
      <c r="C23" s="202">
        <v>8</v>
      </c>
      <c r="D23" s="202" t="s">
        <v>145</v>
      </c>
      <c r="E23" s="147" t="s">
        <v>66</v>
      </c>
      <c r="F23" s="200">
        <v>1017900</v>
      </c>
      <c r="G23" s="200">
        <f t="shared" si="0"/>
        <v>8143200</v>
      </c>
      <c r="H23" s="201"/>
    </row>
    <row r="24" spans="1:8" x14ac:dyDescent="0.2">
      <c r="A24" s="547">
        <v>2.1</v>
      </c>
      <c r="B24" s="556" t="s">
        <v>67</v>
      </c>
      <c r="C24" s="203">
        <v>8</v>
      </c>
      <c r="D24" s="199" t="s">
        <v>145</v>
      </c>
      <c r="E24" s="155" t="s">
        <v>68</v>
      </c>
      <c r="F24" s="200">
        <v>244296</v>
      </c>
      <c r="G24" s="200">
        <f t="shared" si="0"/>
        <v>1954368</v>
      </c>
      <c r="H24" s="201"/>
    </row>
    <row r="25" spans="1:8" x14ac:dyDescent="0.2">
      <c r="A25" s="548"/>
      <c r="B25" s="556"/>
      <c r="C25" s="203">
        <v>8</v>
      </c>
      <c r="D25" s="199" t="s">
        <v>145</v>
      </c>
      <c r="E25" s="155" t="s">
        <v>69</v>
      </c>
      <c r="F25" s="200">
        <v>203580</v>
      </c>
      <c r="G25" s="200">
        <f t="shared" si="0"/>
        <v>1628640</v>
      </c>
      <c r="H25" s="201"/>
    </row>
    <row r="26" spans="1:8" x14ac:dyDescent="0.2">
      <c r="A26" s="549"/>
      <c r="B26" s="556"/>
      <c r="C26" s="203">
        <v>8</v>
      </c>
      <c r="D26" s="199" t="s">
        <v>145</v>
      </c>
      <c r="E26" s="155" t="s">
        <v>70</v>
      </c>
      <c r="F26" s="200">
        <v>203580</v>
      </c>
      <c r="G26" s="200">
        <f t="shared" si="0"/>
        <v>1628640</v>
      </c>
      <c r="H26" s="201"/>
    </row>
    <row r="27" spans="1:8" x14ac:dyDescent="0.2">
      <c r="A27" s="152">
        <v>2.1</v>
      </c>
      <c r="B27" s="198" t="s">
        <v>71</v>
      </c>
      <c r="C27" s="199">
        <v>8</v>
      </c>
      <c r="D27" s="199" t="s">
        <v>145</v>
      </c>
      <c r="E27" s="156" t="s">
        <v>72</v>
      </c>
      <c r="F27" s="200">
        <v>15080000</v>
      </c>
      <c r="G27" s="200">
        <f t="shared" si="0"/>
        <v>120640000</v>
      </c>
      <c r="H27" s="201"/>
    </row>
    <row r="28" spans="1:8" ht="15.75" customHeight="1" x14ac:dyDescent="0.2">
      <c r="A28" s="152">
        <v>2.1</v>
      </c>
      <c r="B28" s="198" t="s">
        <v>71</v>
      </c>
      <c r="C28" s="199">
        <v>8</v>
      </c>
      <c r="D28" s="199" t="s">
        <v>145</v>
      </c>
      <c r="E28" s="156" t="s">
        <v>72</v>
      </c>
      <c r="F28" s="200">
        <v>15080000</v>
      </c>
      <c r="G28" s="200">
        <f t="shared" si="0"/>
        <v>120640000</v>
      </c>
      <c r="H28" s="201"/>
    </row>
    <row r="29" spans="1:8" x14ac:dyDescent="0.2">
      <c r="A29" s="152">
        <v>2.1</v>
      </c>
      <c r="B29" s="204" t="s">
        <v>73</v>
      </c>
      <c r="C29" s="199">
        <v>8</v>
      </c>
      <c r="D29" s="199" t="s">
        <v>75</v>
      </c>
      <c r="E29" s="162" t="s">
        <v>74</v>
      </c>
      <c r="F29" s="200">
        <v>712530</v>
      </c>
      <c r="G29" s="200">
        <f t="shared" si="0"/>
        <v>5700240</v>
      </c>
      <c r="H29" s="201"/>
    </row>
    <row r="30" spans="1:8" x14ac:dyDescent="0.2">
      <c r="A30" s="143"/>
      <c r="B30" s="193" t="s">
        <v>177</v>
      </c>
      <c r="C30" s="195"/>
      <c r="D30" s="196"/>
      <c r="E30" s="145"/>
      <c r="F30" s="196"/>
      <c r="G30" s="196"/>
      <c r="H30" s="205"/>
    </row>
    <row r="31" spans="1:8" x14ac:dyDescent="0.2">
      <c r="A31" s="158">
        <v>1</v>
      </c>
      <c r="B31" s="198" t="s">
        <v>78</v>
      </c>
      <c r="C31" s="199">
        <v>1</v>
      </c>
      <c r="D31" s="206" t="s">
        <v>77</v>
      </c>
      <c r="E31" s="162"/>
      <c r="F31" s="200">
        <v>1000000</v>
      </c>
      <c r="G31" s="200">
        <f t="shared" si="0"/>
        <v>1000000</v>
      </c>
      <c r="H31" s="201"/>
    </row>
    <row r="32" spans="1:8" x14ac:dyDescent="0.2">
      <c r="A32" s="158">
        <f t="shared" ref="A32:A67" si="1">+A31+1</f>
        <v>2</v>
      </c>
      <c r="B32" s="198" t="s">
        <v>79</v>
      </c>
      <c r="C32" s="207">
        <v>30000</v>
      </c>
      <c r="D32" s="206" t="s">
        <v>77</v>
      </c>
      <c r="E32" s="162" t="s">
        <v>204</v>
      </c>
      <c r="F32" s="200">
        <v>500</v>
      </c>
      <c r="G32" s="200">
        <f t="shared" si="0"/>
        <v>15000000</v>
      </c>
      <c r="H32" s="201" t="s">
        <v>205</v>
      </c>
    </row>
    <row r="33" spans="1:8" x14ac:dyDescent="0.2">
      <c r="A33" s="158">
        <f t="shared" si="1"/>
        <v>3</v>
      </c>
      <c r="B33" s="198" t="s">
        <v>80</v>
      </c>
      <c r="C33" s="199">
        <v>1</v>
      </c>
      <c r="D33" s="206" t="s">
        <v>77</v>
      </c>
      <c r="E33" s="162"/>
      <c r="F33" s="200">
        <v>3137041.7812455939</v>
      </c>
      <c r="G33" s="200">
        <f t="shared" si="0"/>
        <v>3137041.7812455939</v>
      </c>
      <c r="H33" s="201"/>
    </row>
    <row r="34" spans="1:8" x14ac:dyDescent="0.2">
      <c r="A34" s="158">
        <f t="shared" si="1"/>
        <v>4</v>
      </c>
      <c r="B34" s="198" t="s">
        <v>81</v>
      </c>
      <c r="C34" s="199">
        <v>2</v>
      </c>
      <c r="D34" s="206" t="s">
        <v>77</v>
      </c>
      <c r="E34" s="162"/>
      <c r="F34" s="200">
        <v>2100080.58801674</v>
      </c>
      <c r="G34" s="200">
        <f t="shared" si="0"/>
        <v>4200161.1760334801</v>
      </c>
      <c r="H34" s="201"/>
    </row>
    <row r="35" spans="1:8" x14ac:dyDescent="0.2">
      <c r="A35" s="158">
        <f t="shared" si="1"/>
        <v>5</v>
      </c>
      <c r="B35" s="198" t="s">
        <v>82</v>
      </c>
      <c r="C35" s="199">
        <v>4</v>
      </c>
      <c r="D35" s="206" t="s">
        <v>77</v>
      </c>
      <c r="E35" s="162"/>
      <c r="F35" s="200">
        <v>1431026.5575122754</v>
      </c>
      <c r="G35" s="200">
        <f t="shared" si="0"/>
        <v>5724106.2300491016</v>
      </c>
      <c r="H35" s="201"/>
    </row>
    <row r="36" spans="1:8" x14ac:dyDescent="0.2">
      <c r="A36" s="158">
        <f t="shared" si="1"/>
        <v>6</v>
      </c>
      <c r="B36" s="198" t="s">
        <v>137</v>
      </c>
      <c r="C36" s="199">
        <v>4</v>
      </c>
      <c r="D36" s="206" t="s">
        <v>77</v>
      </c>
      <c r="E36" s="162"/>
      <c r="F36" s="200">
        <v>1805271.6337556478</v>
      </c>
      <c r="G36" s="200">
        <f t="shared" si="0"/>
        <v>7221086.5350225912</v>
      </c>
      <c r="H36" s="201"/>
    </row>
    <row r="37" spans="1:8" x14ac:dyDescent="0.2">
      <c r="A37" s="158">
        <f t="shared" si="1"/>
        <v>7</v>
      </c>
      <c r="B37" s="198" t="s">
        <v>138</v>
      </c>
      <c r="C37" s="207">
        <v>40000</v>
      </c>
      <c r="D37" s="206" t="s">
        <v>77</v>
      </c>
      <c r="E37" s="162" t="s">
        <v>206</v>
      </c>
      <c r="F37" s="200">
        <v>500</v>
      </c>
      <c r="G37" s="200">
        <f t="shared" si="0"/>
        <v>20000000</v>
      </c>
      <c r="H37" s="201" t="s">
        <v>205</v>
      </c>
    </row>
    <row r="38" spans="1:8" x14ac:dyDescent="0.2">
      <c r="A38" s="158">
        <f t="shared" si="1"/>
        <v>8</v>
      </c>
      <c r="B38" s="198" t="s">
        <v>139</v>
      </c>
      <c r="C38" s="199">
        <v>2</v>
      </c>
      <c r="D38" s="206" t="s">
        <v>77</v>
      </c>
      <c r="E38" s="162"/>
      <c r="F38" s="200">
        <v>2692549.5890610791</v>
      </c>
      <c r="G38" s="200">
        <f t="shared" si="0"/>
        <v>5385099.1781221582</v>
      </c>
      <c r="H38" s="201"/>
    </row>
    <row r="39" spans="1:8" x14ac:dyDescent="0.2">
      <c r="A39" s="158">
        <f t="shared" si="1"/>
        <v>9</v>
      </c>
      <c r="B39" s="198" t="s">
        <v>140</v>
      </c>
      <c r="C39" s="207">
        <v>20000</v>
      </c>
      <c r="D39" s="206" t="s">
        <v>77</v>
      </c>
      <c r="E39" s="162" t="s">
        <v>206</v>
      </c>
      <c r="F39" s="200">
        <v>416</v>
      </c>
      <c r="G39" s="200">
        <f t="shared" si="0"/>
        <v>8320000</v>
      </c>
      <c r="H39" s="201" t="s">
        <v>205</v>
      </c>
    </row>
    <row r="40" spans="1:8" x14ac:dyDescent="0.2">
      <c r="A40" s="158">
        <f t="shared" si="1"/>
        <v>10</v>
      </c>
      <c r="B40" s="198" t="s">
        <v>141</v>
      </c>
      <c r="C40" s="199">
        <v>2</v>
      </c>
      <c r="D40" s="206" t="s">
        <v>77</v>
      </c>
      <c r="E40" s="162"/>
      <c r="F40" s="200">
        <v>3197182.3993580537</v>
      </c>
      <c r="G40" s="200">
        <f t="shared" si="0"/>
        <v>6394364.7987161074</v>
      </c>
      <c r="H40" s="201"/>
    </row>
    <row r="41" spans="1:8" x14ac:dyDescent="0.2">
      <c r="A41" s="158">
        <f t="shared" si="1"/>
        <v>11</v>
      </c>
      <c r="B41" s="198" t="s">
        <v>142</v>
      </c>
      <c r="C41" s="207">
        <v>20000</v>
      </c>
      <c r="D41" s="206" t="s">
        <v>77</v>
      </c>
      <c r="E41" s="162" t="s">
        <v>206</v>
      </c>
      <c r="F41" s="200">
        <v>455</v>
      </c>
      <c r="G41" s="200">
        <f t="shared" si="0"/>
        <v>9100000</v>
      </c>
      <c r="H41" s="201" t="s">
        <v>205</v>
      </c>
    </row>
    <row r="42" spans="1:8" x14ac:dyDescent="0.2">
      <c r="A42" s="158">
        <f t="shared" si="1"/>
        <v>12</v>
      </c>
      <c r="B42" s="198" t="s">
        <v>133</v>
      </c>
      <c r="C42" s="207">
        <v>5000</v>
      </c>
      <c r="D42" s="206" t="s">
        <v>77</v>
      </c>
      <c r="E42" s="162" t="s">
        <v>207</v>
      </c>
      <c r="F42" s="200">
        <v>2340</v>
      </c>
      <c r="G42" s="200">
        <f t="shared" si="0"/>
        <v>11700000</v>
      </c>
      <c r="H42" s="201"/>
    </row>
    <row r="43" spans="1:8" x14ac:dyDescent="0.2">
      <c r="A43" s="158">
        <f t="shared" si="1"/>
        <v>13</v>
      </c>
      <c r="B43" s="198" t="s">
        <v>208</v>
      </c>
      <c r="C43" s="207">
        <v>5000</v>
      </c>
      <c r="D43" s="206" t="s">
        <v>77</v>
      </c>
      <c r="E43" s="162" t="s">
        <v>209</v>
      </c>
      <c r="F43" s="200">
        <v>1950</v>
      </c>
      <c r="G43" s="200">
        <f t="shared" si="0"/>
        <v>9750000</v>
      </c>
      <c r="H43" s="201"/>
    </row>
    <row r="44" spans="1:8" x14ac:dyDescent="0.2">
      <c r="A44" s="158">
        <f>+A43+1</f>
        <v>14</v>
      </c>
      <c r="B44" s="198" t="s">
        <v>124</v>
      </c>
      <c r="C44" s="207">
        <v>1</v>
      </c>
      <c r="D44" s="206" t="s">
        <v>77</v>
      </c>
      <c r="E44" s="162"/>
      <c r="F44" s="200">
        <v>2044326.6724816032</v>
      </c>
      <c r="G44" s="200">
        <f t="shared" si="0"/>
        <v>2044326.6724816032</v>
      </c>
      <c r="H44" s="201"/>
    </row>
    <row r="45" spans="1:8" ht="25.5" x14ac:dyDescent="0.2">
      <c r="A45" s="158">
        <f t="shared" si="1"/>
        <v>15</v>
      </c>
      <c r="B45" s="208" t="s">
        <v>125</v>
      </c>
      <c r="C45" s="207">
        <v>5000</v>
      </c>
      <c r="D45" s="206" t="s">
        <v>77</v>
      </c>
      <c r="E45" s="162" t="s">
        <v>210</v>
      </c>
      <c r="F45" s="200">
        <v>6500</v>
      </c>
      <c r="G45" s="200">
        <f t="shared" si="0"/>
        <v>32500000</v>
      </c>
      <c r="H45" s="201" t="s">
        <v>205</v>
      </c>
    </row>
    <row r="46" spans="1:8" x14ac:dyDescent="0.2">
      <c r="A46" s="158">
        <f t="shared" si="1"/>
        <v>16</v>
      </c>
      <c r="B46" s="208" t="s">
        <v>126</v>
      </c>
      <c r="C46" s="199">
        <v>1</v>
      </c>
      <c r="D46" s="206" t="s">
        <v>77</v>
      </c>
      <c r="E46" s="162" t="s">
        <v>211</v>
      </c>
      <c r="F46" s="200">
        <v>895167.3280659311</v>
      </c>
      <c r="G46" s="200">
        <f t="shared" si="0"/>
        <v>895167.3280659311</v>
      </c>
      <c r="H46" s="201"/>
    </row>
    <row r="47" spans="1:8" ht="25.5" x14ac:dyDescent="0.2">
      <c r="A47" s="158">
        <f t="shared" si="1"/>
        <v>17</v>
      </c>
      <c r="B47" s="208" t="s">
        <v>134</v>
      </c>
      <c r="C47" s="207">
        <v>5000</v>
      </c>
      <c r="D47" s="206" t="s">
        <v>77</v>
      </c>
      <c r="E47" s="162" t="s">
        <v>212</v>
      </c>
      <c r="F47" s="200">
        <v>234</v>
      </c>
      <c r="G47" s="200">
        <f t="shared" si="0"/>
        <v>1170000</v>
      </c>
      <c r="H47" s="201" t="s">
        <v>205</v>
      </c>
    </row>
    <row r="48" spans="1:8" x14ac:dyDescent="0.2">
      <c r="A48" s="158">
        <f t="shared" si="1"/>
        <v>18</v>
      </c>
      <c r="B48" s="198" t="s">
        <v>83</v>
      </c>
      <c r="C48" s="199">
        <v>5</v>
      </c>
      <c r="D48" s="206" t="s">
        <v>77</v>
      </c>
      <c r="E48" s="162"/>
      <c r="F48" s="200">
        <v>1198615.8499080529</v>
      </c>
      <c r="G48" s="200">
        <f t="shared" si="0"/>
        <v>5993079.2495402647</v>
      </c>
      <c r="H48" s="201"/>
    </row>
    <row r="49" spans="1:8" ht="25.5" x14ac:dyDescent="0.2">
      <c r="A49" s="158">
        <f t="shared" si="1"/>
        <v>19</v>
      </c>
      <c r="B49" s="198" t="s">
        <v>135</v>
      </c>
      <c r="C49" s="199">
        <v>40</v>
      </c>
      <c r="D49" s="206" t="s">
        <v>77</v>
      </c>
      <c r="E49" s="162" t="s">
        <v>156</v>
      </c>
      <c r="F49" s="200">
        <v>261300</v>
      </c>
      <c r="G49" s="200">
        <f t="shared" si="0"/>
        <v>10452000</v>
      </c>
      <c r="H49" s="201" t="s">
        <v>205</v>
      </c>
    </row>
    <row r="50" spans="1:8" x14ac:dyDescent="0.2">
      <c r="A50" s="158">
        <f t="shared" si="1"/>
        <v>20</v>
      </c>
      <c r="B50" s="198" t="s">
        <v>84</v>
      </c>
      <c r="C50" s="199">
        <v>1</v>
      </c>
      <c r="D50" s="206" t="s">
        <v>77</v>
      </c>
      <c r="E50" s="162"/>
      <c r="F50" s="200">
        <v>2720310.3194620861</v>
      </c>
      <c r="G50" s="209">
        <f t="shared" ref="G50:G67" si="2">+F50*C50</f>
        <v>2720310.3194620861</v>
      </c>
      <c r="H50" s="201"/>
    </row>
    <row r="51" spans="1:8" ht="25.5" x14ac:dyDescent="0.2">
      <c r="A51" s="158">
        <f t="shared" si="1"/>
        <v>21</v>
      </c>
      <c r="B51" s="198" t="s">
        <v>85</v>
      </c>
      <c r="C51" s="199">
        <v>2</v>
      </c>
      <c r="D51" s="206" t="s">
        <v>77</v>
      </c>
      <c r="E51" s="162" t="s">
        <v>156</v>
      </c>
      <c r="F51" s="200">
        <v>728000</v>
      </c>
      <c r="G51" s="209">
        <f t="shared" si="2"/>
        <v>1456000</v>
      </c>
      <c r="H51" s="201"/>
    </row>
    <row r="52" spans="1:8" x14ac:dyDescent="0.2">
      <c r="A52" s="158">
        <f t="shared" si="1"/>
        <v>22</v>
      </c>
      <c r="B52" s="198" t="s">
        <v>86</v>
      </c>
      <c r="C52" s="199">
        <v>1</v>
      </c>
      <c r="D52" s="206" t="s">
        <v>77</v>
      </c>
      <c r="E52" s="162"/>
      <c r="F52" s="200">
        <v>2305292.3308249991</v>
      </c>
      <c r="G52" s="209">
        <f t="shared" si="2"/>
        <v>2305292.3308249991</v>
      </c>
      <c r="H52" s="201"/>
    </row>
    <row r="53" spans="1:8" ht="25.5" x14ac:dyDescent="0.2">
      <c r="A53" s="158">
        <f t="shared" si="1"/>
        <v>23</v>
      </c>
      <c r="B53" s="198" t="s">
        <v>87</v>
      </c>
      <c r="C53" s="199">
        <v>1</v>
      </c>
      <c r="D53" s="206" t="s">
        <v>77</v>
      </c>
      <c r="E53" s="162" t="s">
        <v>157</v>
      </c>
      <c r="F53" s="200">
        <v>624000</v>
      </c>
      <c r="G53" s="209">
        <f t="shared" si="2"/>
        <v>624000</v>
      </c>
      <c r="H53" s="201"/>
    </row>
    <row r="54" spans="1:8" x14ac:dyDescent="0.2">
      <c r="A54" s="158">
        <f t="shared" si="1"/>
        <v>24</v>
      </c>
      <c r="B54" s="198" t="s">
        <v>88</v>
      </c>
      <c r="C54" s="199">
        <v>1</v>
      </c>
      <c r="D54" s="206" t="s">
        <v>77</v>
      </c>
      <c r="E54" s="162"/>
      <c r="F54" s="200">
        <v>2305292.3308249991</v>
      </c>
      <c r="G54" s="209">
        <f t="shared" si="2"/>
        <v>2305292.3308249991</v>
      </c>
      <c r="H54" s="201"/>
    </row>
    <row r="55" spans="1:8" ht="25.5" x14ac:dyDescent="0.2">
      <c r="A55" s="158">
        <f t="shared" si="1"/>
        <v>25</v>
      </c>
      <c r="B55" s="198" t="s">
        <v>89</v>
      </c>
      <c r="C55" s="199">
        <v>2</v>
      </c>
      <c r="D55" s="206" t="s">
        <v>77</v>
      </c>
      <c r="E55" s="162" t="s">
        <v>157</v>
      </c>
      <c r="F55" s="200">
        <v>874640</v>
      </c>
      <c r="G55" s="209">
        <f t="shared" si="2"/>
        <v>1749280</v>
      </c>
      <c r="H55" s="201"/>
    </row>
    <row r="56" spans="1:8" x14ac:dyDescent="0.2">
      <c r="A56" s="158">
        <f>+A55+1</f>
        <v>26</v>
      </c>
      <c r="B56" s="198" t="s">
        <v>90</v>
      </c>
      <c r="C56" s="199">
        <v>1</v>
      </c>
      <c r="D56" s="206" t="s">
        <v>77</v>
      </c>
      <c r="E56" s="162"/>
      <c r="F56" s="200">
        <v>2305292.3308249991</v>
      </c>
      <c r="G56" s="209">
        <f t="shared" si="2"/>
        <v>2305292.3308249991</v>
      </c>
      <c r="H56" s="201"/>
    </row>
    <row r="57" spans="1:8" ht="25.5" x14ac:dyDescent="0.2">
      <c r="A57" s="158">
        <f t="shared" si="1"/>
        <v>27</v>
      </c>
      <c r="B57" s="198" t="s">
        <v>91</v>
      </c>
      <c r="C57" s="199">
        <v>2</v>
      </c>
      <c r="D57" s="206" t="s">
        <v>77</v>
      </c>
      <c r="E57" s="162" t="s">
        <v>157</v>
      </c>
      <c r="F57" s="200">
        <v>1216800</v>
      </c>
      <c r="G57" s="209">
        <f t="shared" si="2"/>
        <v>2433600</v>
      </c>
      <c r="H57" s="201"/>
    </row>
    <row r="58" spans="1:8" x14ac:dyDescent="0.2">
      <c r="A58" s="158">
        <f t="shared" si="1"/>
        <v>28</v>
      </c>
      <c r="B58" s="198" t="s">
        <v>92</v>
      </c>
      <c r="C58" s="199">
        <v>1</v>
      </c>
      <c r="D58" s="206" t="s">
        <v>77</v>
      </c>
      <c r="E58" s="162"/>
      <c r="F58" s="200">
        <v>2305292.3308249991</v>
      </c>
      <c r="G58" s="209">
        <f t="shared" si="2"/>
        <v>2305292.3308249991</v>
      </c>
      <c r="H58" s="201"/>
    </row>
    <row r="59" spans="1:8" ht="25.5" x14ac:dyDescent="0.2">
      <c r="A59" s="158">
        <f t="shared" si="1"/>
        <v>29</v>
      </c>
      <c r="B59" s="198" t="s">
        <v>93</v>
      </c>
      <c r="C59" s="199">
        <v>1</v>
      </c>
      <c r="D59" s="206" t="s">
        <v>77</v>
      </c>
      <c r="E59" s="162" t="s">
        <v>157</v>
      </c>
      <c r="F59" s="200">
        <v>874640</v>
      </c>
      <c r="G59" s="209">
        <f t="shared" si="2"/>
        <v>874640</v>
      </c>
      <c r="H59" s="201"/>
    </row>
    <row r="60" spans="1:8" x14ac:dyDescent="0.2">
      <c r="A60" s="158">
        <f t="shared" si="1"/>
        <v>30</v>
      </c>
      <c r="B60" s="198" t="s">
        <v>94</v>
      </c>
      <c r="C60" s="199">
        <v>1</v>
      </c>
      <c r="D60" s="206" t="s">
        <v>77</v>
      </c>
      <c r="E60" s="162"/>
      <c r="F60" s="200">
        <v>2305292.3308249991</v>
      </c>
      <c r="G60" s="209">
        <f t="shared" si="2"/>
        <v>2305292.3308249991</v>
      </c>
      <c r="H60" s="201"/>
    </row>
    <row r="61" spans="1:8" ht="25.5" x14ac:dyDescent="0.2">
      <c r="A61" s="158">
        <f t="shared" si="1"/>
        <v>31</v>
      </c>
      <c r="B61" s="198" t="s">
        <v>95</v>
      </c>
      <c r="C61" s="199">
        <v>1</v>
      </c>
      <c r="D61" s="206" t="s">
        <v>77</v>
      </c>
      <c r="E61" s="162" t="s">
        <v>157</v>
      </c>
      <c r="F61" s="200">
        <v>2730000</v>
      </c>
      <c r="G61" s="209">
        <f t="shared" si="2"/>
        <v>2730000</v>
      </c>
      <c r="H61" s="201"/>
    </row>
    <row r="62" spans="1:8" x14ac:dyDescent="0.2">
      <c r="A62" s="158">
        <f t="shared" si="1"/>
        <v>32</v>
      </c>
      <c r="B62" s="198" t="s">
        <v>96</v>
      </c>
      <c r="C62" s="199">
        <v>1</v>
      </c>
      <c r="D62" s="206" t="s">
        <v>77</v>
      </c>
      <c r="E62" s="162"/>
      <c r="F62" s="200">
        <v>263900</v>
      </c>
      <c r="G62" s="209">
        <f t="shared" si="2"/>
        <v>263900</v>
      </c>
      <c r="H62" s="201"/>
    </row>
    <row r="63" spans="1:8" x14ac:dyDescent="0.2">
      <c r="A63" s="158">
        <f t="shared" si="1"/>
        <v>33</v>
      </c>
      <c r="B63" s="198" t="s">
        <v>97</v>
      </c>
      <c r="C63" s="199">
        <v>1</v>
      </c>
      <c r="D63" s="206" t="s">
        <v>77</v>
      </c>
      <c r="E63" s="162"/>
      <c r="F63" s="200">
        <v>455000</v>
      </c>
      <c r="G63" s="209">
        <f t="shared" si="2"/>
        <v>455000</v>
      </c>
      <c r="H63" s="201"/>
    </row>
    <row r="64" spans="1:8" x14ac:dyDescent="0.2">
      <c r="A64" s="158">
        <f t="shared" si="1"/>
        <v>34</v>
      </c>
      <c r="B64" s="198" t="s">
        <v>98</v>
      </c>
      <c r="C64" s="199">
        <v>1</v>
      </c>
      <c r="D64" s="206" t="s">
        <v>77</v>
      </c>
      <c r="E64" s="162"/>
      <c r="F64" s="200">
        <v>728000</v>
      </c>
      <c r="G64" s="209">
        <f t="shared" si="2"/>
        <v>728000</v>
      </c>
      <c r="H64" s="201"/>
    </row>
    <row r="65" spans="1:8" x14ac:dyDescent="0.2">
      <c r="A65" s="158">
        <f t="shared" si="1"/>
        <v>35</v>
      </c>
      <c r="B65" s="198" t="s">
        <v>99</v>
      </c>
      <c r="C65" s="199">
        <v>1</v>
      </c>
      <c r="D65" s="206" t="s">
        <v>77</v>
      </c>
      <c r="E65" s="162"/>
      <c r="F65" s="200">
        <v>874640</v>
      </c>
      <c r="G65" s="209">
        <f t="shared" si="2"/>
        <v>874640</v>
      </c>
      <c r="H65" s="201"/>
    </row>
    <row r="66" spans="1:8" x14ac:dyDescent="0.2">
      <c r="A66" s="158">
        <f t="shared" si="1"/>
        <v>36</v>
      </c>
      <c r="B66" s="198" t="s">
        <v>100</v>
      </c>
      <c r="C66" s="199">
        <v>1</v>
      </c>
      <c r="D66" s="199" t="s">
        <v>77</v>
      </c>
      <c r="E66" s="162"/>
      <c r="F66" s="200">
        <v>1216800</v>
      </c>
      <c r="G66" s="209">
        <f t="shared" si="2"/>
        <v>1216800</v>
      </c>
      <c r="H66" s="201"/>
    </row>
    <row r="67" spans="1:8" x14ac:dyDescent="0.2">
      <c r="A67" s="158">
        <f t="shared" si="1"/>
        <v>37</v>
      </c>
      <c r="B67" s="198" t="s">
        <v>155</v>
      </c>
      <c r="C67" s="199">
        <v>5000</v>
      </c>
      <c r="D67" s="206"/>
      <c r="E67" s="162"/>
      <c r="F67" s="200">
        <v>1430</v>
      </c>
      <c r="G67" s="209">
        <f t="shared" si="2"/>
        <v>7150000</v>
      </c>
      <c r="H67" s="201" t="s">
        <v>205</v>
      </c>
    </row>
    <row r="68" spans="1:8" ht="14.25" customHeight="1" x14ac:dyDescent="0.2">
      <c r="A68" s="143"/>
      <c r="B68" s="551" t="s">
        <v>178</v>
      </c>
      <c r="C68" s="552"/>
      <c r="D68" s="552"/>
      <c r="E68" s="552"/>
      <c r="F68" s="552"/>
      <c r="G68" s="553"/>
      <c r="H68" s="210"/>
    </row>
    <row r="69" spans="1:8" x14ac:dyDescent="0.2">
      <c r="A69" s="158">
        <v>1</v>
      </c>
      <c r="B69" s="198" t="s">
        <v>213</v>
      </c>
      <c r="C69" s="207">
        <v>58500</v>
      </c>
      <c r="D69" s="206" t="s">
        <v>77</v>
      </c>
      <c r="E69" s="162"/>
      <c r="F69" s="200">
        <v>364</v>
      </c>
      <c r="G69" s="209">
        <f t="shared" ref="G69:G77" si="3">+F69*C69</f>
        <v>21294000</v>
      </c>
      <c r="H69" s="201" t="s">
        <v>205</v>
      </c>
    </row>
    <row r="70" spans="1:8" x14ac:dyDescent="0.2">
      <c r="A70" s="158">
        <v>2</v>
      </c>
      <c r="B70" s="198" t="s">
        <v>163</v>
      </c>
      <c r="C70" s="207"/>
      <c r="D70" s="206" t="s">
        <v>77</v>
      </c>
      <c r="E70" s="162"/>
      <c r="F70" s="200">
        <v>3197182.3993580537</v>
      </c>
      <c r="G70" s="209">
        <f t="shared" si="3"/>
        <v>0</v>
      </c>
      <c r="H70" s="206" t="s">
        <v>77</v>
      </c>
    </row>
    <row r="71" spans="1:8" x14ac:dyDescent="0.2">
      <c r="A71" s="158">
        <v>3</v>
      </c>
      <c r="B71" s="198" t="s">
        <v>166</v>
      </c>
      <c r="C71" s="207">
        <v>29250</v>
      </c>
      <c r="D71" s="206" t="s">
        <v>77</v>
      </c>
      <c r="E71" s="162"/>
      <c r="F71" s="200">
        <v>2990</v>
      </c>
      <c r="G71" s="209">
        <f t="shared" si="3"/>
        <v>87457500</v>
      </c>
      <c r="H71" s="201"/>
    </row>
    <row r="72" spans="1:8" ht="30.75" customHeight="1" x14ac:dyDescent="0.2">
      <c r="A72" s="158">
        <v>4</v>
      </c>
      <c r="B72" s="198" t="s">
        <v>165</v>
      </c>
      <c r="C72" s="207"/>
      <c r="D72" s="206"/>
      <c r="E72" s="162"/>
      <c r="F72" s="200">
        <v>1022163.3362408016</v>
      </c>
      <c r="G72" s="209">
        <f t="shared" si="3"/>
        <v>0</v>
      </c>
      <c r="H72" s="201" t="s">
        <v>205</v>
      </c>
    </row>
    <row r="73" spans="1:8" ht="27.75" customHeight="1" x14ac:dyDescent="0.2">
      <c r="A73" s="158">
        <v>5</v>
      </c>
      <c r="B73" s="198" t="s">
        <v>168</v>
      </c>
      <c r="C73" s="207">
        <v>29250</v>
      </c>
      <c r="D73" s="206" t="s">
        <v>77</v>
      </c>
      <c r="E73" s="162"/>
      <c r="F73" s="200">
        <v>325</v>
      </c>
      <c r="G73" s="209">
        <f t="shared" si="3"/>
        <v>9506250</v>
      </c>
      <c r="H73" s="201" t="s">
        <v>205</v>
      </c>
    </row>
    <row r="74" spans="1:8" ht="30" customHeight="1" x14ac:dyDescent="0.2">
      <c r="A74" s="158">
        <v>6</v>
      </c>
      <c r="B74" s="198" t="s">
        <v>167</v>
      </c>
      <c r="C74" s="207"/>
      <c r="D74" s="206"/>
      <c r="E74" s="162"/>
      <c r="F74" s="200">
        <v>3200214.8770128721</v>
      </c>
      <c r="G74" s="209">
        <f t="shared" si="3"/>
        <v>0</v>
      </c>
      <c r="H74" s="201"/>
    </row>
    <row r="75" spans="1:8" x14ac:dyDescent="0.2">
      <c r="A75" s="158">
        <v>7</v>
      </c>
      <c r="B75" s="198" t="s">
        <v>149</v>
      </c>
      <c r="C75" s="207">
        <v>29250</v>
      </c>
      <c r="D75" s="206" t="s">
        <v>77</v>
      </c>
      <c r="E75" s="162"/>
      <c r="F75" s="200">
        <v>26000</v>
      </c>
      <c r="G75" s="209">
        <f t="shared" si="3"/>
        <v>760500000</v>
      </c>
      <c r="H75" s="201" t="s">
        <v>205</v>
      </c>
    </row>
    <row r="76" spans="1:8" ht="12.75" customHeight="1" x14ac:dyDescent="0.2">
      <c r="A76" s="158">
        <v>8</v>
      </c>
      <c r="B76" s="198" t="s">
        <v>150</v>
      </c>
      <c r="C76" s="207">
        <v>29250</v>
      </c>
      <c r="D76" s="206" t="s">
        <v>77</v>
      </c>
      <c r="E76" s="162"/>
      <c r="F76" s="200">
        <v>650</v>
      </c>
      <c r="G76" s="209">
        <f t="shared" si="3"/>
        <v>19012500</v>
      </c>
      <c r="H76" s="201" t="s">
        <v>205</v>
      </c>
    </row>
    <row r="77" spans="1:8" ht="102" customHeight="1" x14ac:dyDescent="0.2">
      <c r="A77" s="146">
        <v>9</v>
      </c>
      <c r="B77" s="198" t="s">
        <v>76</v>
      </c>
      <c r="C77" s="207">
        <v>29250</v>
      </c>
      <c r="D77" s="206" t="s">
        <v>77</v>
      </c>
      <c r="E77" s="201" t="s">
        <v>159</v>
      </c>
      <c r="F77" s="200">
        <v>5000</v>
      </c>
      <c r="G77" s="200">
        <f t="shared" si="3"/>
        <v>146250000</v>
      </c>
      <c r="H77" s="201" t="s">
        <v>214</v>
      </c>
    </row>
    <row r="78" spans="1:8" ht="14.25" customHeight="1" x14ac:dyDescent="0.2">
      <c r="A78" s="143"/>
      <c r="B78" s="193" t="s">
        <v>179</v>
      </c>
      <c r="C78" s="195"/>
      <c r="D78" s="196"/>
      <c r="E78" s="145"/>
      <c r="F78" s="196"/>
      <c r="G78" s="197"/>
      <c r="H78" s="210"/>
    </row>
    <row r="79" spans="1:8" ht="25.5" x14ac:dyDescent="0.2">
      <c r="A79" s="158" t="s">
        <v>180</v>
      </c>
      <c r="B79" s="198" t="s">
        <v>143</v>
      </c>
      <c r="C79" s="199">
        <v>1</v>
      </c>
      <c r="D79" s="206" t="s">
        <v>106</v>
      </c>
      <c r="E79" s="162" t="s">
        <v>130</v>
      </c>
      <c r="F79" s="200">
        <v>15080000</v>
      </c>
      <c r="G79" s="209">
        <f>+F79*C79</f>
        <v>15080000</v>
      </c>
      <c r="H79" s="201" t="s">
        <v>215</v>
      </c>
    </row>
    <row r="80" spans="1:8" x14ac:dyDescent="0.2">
      <c r="A80" s="158" t="s">
        <v>181</v>
      </c>
      <c r="B80" s="198" t="s">
        <v>118</v>
      </c>
      <c r="C80" s="199">
        <v>1</v>
      </c>
      <c r="D80" s="206" t="s">
        <v>119</v>
      </c>
      <c r="E80" s="163" t="s">
        <v>109</v>
      </c>
      <c r="F80" s="200">
        <v>37700000</v>
      </c>
      <c r="G80" s="209">
        <f>+F80*C80</f>
        <v>37700000</v>
      </c>
      <c r="H80" s="201"/>
    </row>
    <row r="81" spans="1:8" ht="42" customHeight="1" x14ac:dyDescent="0.2">
      <c r="A81" s="158" t="s">
        <v>182</v>
      </c>
      <c r="B81" s="198" t="s">
        <v>120</v>
      </c>
      <c r="C81" s="207">
        <v>4000</v>
      </c>
      <c r="D81" s="206" t="s">
        <v>108</v>
      </c>
      <c r="E81" s="164" t="s">
        <v>158</v>
      </c>
      <c r="F81" s="200">
        <v>754</v>
      </c>
      <c r="G81" s="209">
        <f>+F81*C81</f>
        <v>3016000</v>
      </c>
      <c r="H81" s="201"/>
    </row>
    <row r="82" spans="1:8" x14ac:dyDescent="0.2">
      <c r="A82" s="143"/>
      <c r="B82" s="211" t="s">
        <v>121</v>
      </c>
      <c r="C82" s="195"/>
      <c r="D82" s="196"/>
      <c r="E82" s="145"/>
      <c r="F82" s="196"/>
      <c r="G82" s="197"/>
      <c r="H82" s="201"/>
    </row>
    <row r="83" spans="1:8" x14ac:dyDescent="0.2">
      <c r="A83" s="158"/>
      <c r="B83" s="198" t="s">
        <v>122</v>
      </c>
      <c r="C83" s="199"/>
      <c r="D83" s="206"/>
      <c r="E83" s="162"/>
      <c r="F83" s="199"/>
      <c r="G83" s="209"/>
      <c r="H83" s="201"/>
    </row>
    <row r="84" spans="1:8" x14ac:dyDescent="0.2">
      <c r="A84" s="143"/>
      <c r="B84" s="211" t="s">
        <v>183</v>
      </c>
      <c r="C84" s="195"/>
      <c r="D84" s="196"/>
      <c r="E84" s="145"/>
      <c r="F84" s="196"/>
      <c r="G84" s="197"/>
      <c r="H84" s="210"/>
    </row>
    <row r="85" spans="1:8" ht="38.25" x14ac:dyDescent="0.2">
      <c r="A85" s="146" t="s">
        <v>184</v>
      </c>
      <c r="B85" s="198" t="s">
        <v>162</v>
      </c>
      <c r="C85" s="199">
        <v>1</v>
      </c>
      <c r="D85" s="206" t="s">
        <v>77</v>
      </c>
      <c r="E85" s="163" t="s">
        <v>169</v>
      </c>
      <c r="F85" s="200">
        <v>18096000</v>
      </c>
      <c r="G85" s="209">
        <f>+F85*C85</f>
        <v>18096000</v>
      </c>
      <c r="H85" s="201" t="s">
        <v>216</v>
      </c>
    </row>
    <row r="86" spans="1:8" x14ac:dyDescent="0.2">
      <c r="A86" s="167"/>
      <c r="B86" s="193" t="s">
        <v>185</v>
      </c>
      <c r="C86" s="195"/>
      <c r="D86" s="196"/>
      <c r="E86" s="170"/>
      <c r="F86" s="196"/>
      <c r="G86" s="205"/>
      <c r="H86" s="210"/>
    </row>
    <row r="87" spans="1:8" ht="169.5" customHeight="1" x14ac:dyDescent="0.2">
      <c r="A87" s="146">
        <v>2.6</v>
      </c>
      <c r="B87" s="198" t="s">
        <v>103</v>
      </c>
      <c r="C87" s="199">
        <v>10</v>
      </c>
      <c r="D87" s="199" t="s">
        <v>105</v>
      </c>
      <c r="E87" s="149" t="s">
        <v>104</v>
      </c>
      <c r="F87" s="200">
        <v>12064000</v>
      </c>
      <c r="G87" s="209">
        <f>+F87*C87</f>
        <v>120640000</v>
      </c>
      <c r="H87" s="201" t="s">
        <v>217</v>
      </c>
    </row>
  </sheetData>
  <mergeCells count="6">
    <mergeCell ref="B68:G68"/>
    <mergeCell ref="A8:G8"/>
    <mergeCell ref="H8:H11"/>
    <mergeCell ref="A9:B9"/>
    <mergeCell ref="A24:A26"/>
    <mergeCell ref="B24:B26"/>
  </mergeCells>
  <pageMargins left="0.70866141732283472" right="0.70866141732283472" top="0.74803149606299213" bottom="0.74803149606299213" header="0.31496062992125984" footer="0.31496062992125984"/>
  <pageSetup scale="57" orientation="landscape" r:id="rId1"/>
  <rowBreaks count="2" manualBreakCount="2">
    <brk id="43" max="6" man="1"/>
    <brk id="83" max="6"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5"/>
  <sheetViews>
    <sheetView topLeftCell="A69" zoomScale="80" zoomScaleNormal="80" zoomScalePageLayoutView="80" workbookViewId="0">
      <selection activeCell="B66" sqref="B66"/>
    </sheetView>
  </sheetViews>
  <sheetFormatPr baseColWidth="10" defaultColWidth="10.85546875" defaultRowHeight="12.75" x14ac:dyDescent="0.2"/>
  <cols>
    <col min="1" max="1" width="7.42578125" style="172" bestFit="1" customWidth="1"/>
    <col min="2" max="2" width="83" style="173" customWidth="1"/>
    <col min="3" max="3" width="14.140625" style="174" customWidth="1"/>
    <col min="4" max="4" width="14.5703125" style="174" customWidth="1"/>
    <col min="5" max="5" width="65.28515625" style="175" customWidth="1"/>
    <col min="6" max="6" width="13" style="137" customWidth="1"/>
    <col min="7" max="7" width="16.5703125" style="188" customWidth="1"/>
    <col min="8" max="8" width="14.28515625" style="137" customWidth="1"/>
    <col min="9" max="16384" width="10.85546875" style="137"/>
  </cols>
  <sheetData>
    <row r="1" spans="1:7" x14ac:dyDescent="0.2">
      <c r="B1" s="176" t="s">
        <v>195</v>
      </c>
      <c r="E1" s="175" t="s">
        <v>226</v>
      </c>
    </row>
    <row r="2" spans="1:7" x14ac:dyDescent="0.2">
      <c r="B2" s="176" t="s">
        <v>196</v>
      </c>
      <c r="E2" s="175" t="s">
        <v>227</v>
      </c>
    </row>
    <row r="3" spans="1:7" x14ac:dyDescent="0.2">
      <c r="B3" s="176" t="s">
        <v>197</v>
      </c>
    </row>
    <row r="4" spans="1:7" x14ac:dyDescent="0.2">
      <c r="B4" s="177" t="s">
        <v>161</v>
      </c>
    </row>
    <row r="5" spans="1:7" x14ac:dyDescent="0.2">
      <c r="B5" s="176" t="s">
        <v>160</v>
      </c>
    </row>
    <row r="6" spans="1:7" x14ac:dyDescent="0.2">
      <c r="B6" s="176" t="s">
        <v>198</v>
      </c>
      <c r="E6" s="175" t="s">
        <v>228</v>
      </c>
    </row>
    <row r="8" spans="1:7" ht="15" customHeight="1" x14ac:dyDescent="0.2">
      <c r="A8" s="544" t="s">
        <v>102</v>
      </c>
      <c r="B8" s="544"/>
      <c r="C8" s="544"/>
      <c r="D8" s="544"/>
      <c r="E8" s="544"/>
      <c r="F8" s="544"/>
      <c r="G8" s="544"/>
    </row>
    <row r="9" spans="1:7" ht="38.25" x14ac:dyDescent="0.2">
      <c r="A9" s="545" t="s">
        <v>62</v>
      </c>
      <c r="B9" s="546"/>
      <c r="C9" s="139" t="s">
        <v>63</v>
      </c>
      <c r="D9" s="220" t="s">
        <v>64</v>
      </c>
      <c r="E9" s="220" t="s">
        <v>65</v>
      </c>
      <c r="F9" s="191" t="s">
        <v>101</v>
      </c>
      <c r="G9" s="192" t="s">
        <v>61</v>
      </c>
    </row>
    <row r="10" spans="1:7" x14ac:dyDescent="0.2">
      <c r="A10" s="141"/>
      <c r="B10" s="142" t="s">
        <v>117</v>
      </c>
      <c r="C10" s="138"/>
      <c r="D10" s="139"/>
      <c r="E10" s="220"/>
      <c r="F10" s="191"/>
      <c r="G10" s="192"/>
    </row>
    <row r="11" spans="1:7" x14ac:dyDescent="0.2">
      <c r="A11" s="143" t="s">
        <v>129</v>
      </c>
      <c r="B11" s="142" t="s">
        <v>170</v>
      </c>
      <c r="C11" s="144"/>
      <c r="D11" s="142"/>
      <c r="E11" s="145"/>
      <c r="F11" s="145"/>
      <c r="G11" s="197"/>
    </row>
    <row r="12" spans="1:7" ht="87" customHeight="1" x14ac:dyDescent="0.2">
      <c r="A12" s="146" t="s">
        <v>171</v>
      </c>
      <c r="B12" s="147" t="s">
        <v>127</v>
      </c>
      <c r="C12" s="199">
        <v>3</v>
      </c>
      <c r="D12" s="199" t="s">
        <v>111</v>
      </c>
      <c r="E12" s="149" t="s">
        <v>131</v>
      </c>
      <c r="F12" s="198">
        <v>34800000</v>
      </c>
      <c r="G12" s="223">
        <f>+F12*C12</f>
        <v>104400000</v>
      </c>
    </row>
    <row r="13" spans="1:7" ht="85.5" customHeight="1" x14ac:dyDescent="0.2">
      <c r="A13" s="150" t="s">
        <v>171</v>
      </c>
      <c r="B13" s="147" t="s">
        <v>128</v>
      </c>
      <c r="C13" s="199">
        <v>2</v>
      </c>
      <c r="D13" s="199" t="s">
        <v>111</v>
      </c>
      <c r="E13" s="149" t="s">
        <v>132</v>
      </c>
      <c r="F13" s="198">
        <v>31320000</v>
      </c>
      <c r="G13" s="223">
        <f t="shared" ref="G13:G74" si="0">+F13*C13</f>
        <v>62640000</v>
      </c>
    </row>
    <row r="14" spans="1:7" ht="155.25" customHeight="1" x14ac:dyDescent="0.2">
      <c r="A14" s="150" t="s">
        <v>171</v>
      </c>
      <c r="B14" s="147" t="s">
        <v>186</v>
      </c>
      <c r="C14" s="199">
        <v>5</v>
      </c>
      <c r="D14" s="199" t="s">
        <v>110</v>
      </c>
      <c r="E14" s="149" t="s">
        <v>136</v>
      </c>
      <c r="F14" s="198">
        <v>7888000</v>
      </c>
      <c r="G14" s="223">
        <f t="shared" si="0"/>
        <v>39440000</v>
      </c>
    </row>
    <row r="15" spans="1:7" ht="150" customHeight="1" x14ac:dyDescent="0.2">
      <c r="A15" s="146" t="s">
        <v>171</v>
      </c>
      <c r="B15" s="147" t="s">
        <v>187</v>
      </c>
      <c r="C15" s="199">
        <v>5</v>
      </c>
      <c r="D15" s="199" t="s">
        <v>110</v>
      </c>
      <c r="E15" s="149" t="s">
        <v>112</v>
      </c>
      <c r="F15" s="198">
        <v>9280000</v>
      </c>
      <c r="G15" s="223">
        <f t="shared" si="0"/>
        <v>46400000</v>
      </c>
    </row>
    <row r="16" spans="1:7" ht="36.75" customHeight="1" x14ac:dyDescent="0.2">
      <c r="A16" s="146" t="s">
        <v>172</v>
      </c>
      <c r="B16" s="147" t="s">
        <v>113</v>
      </c>
      <c r="C16" s="199">
        <v>6</v>
      </c>
      <c r="D16" s="199" t="s">
        <v>114</v>
      </c>
      <c r="E16" s="149" t="s">
        <v>115</v>
      </c>
      <c r="F16" s="198">
        <v>87000000</v>
      </c>
      <c r="G16" s="223">
        <f t="shared" si="0"/>
        <v>522000000</v>
      </c>
    </row>
    <row r="17" spans="1:7" ht="37.5" customHeight="1" x14ac:dyDescent="0.2">
      <c r="A17" s="146" t="s">
        <v>173</v>
      </c>
      <c r="B17" s="147" t="s">
        <v>107</v>
      </c>
      <c r="C17" s="199">
        <v>16</v>
      </c>
      <c r="D17" s="199" t="s">
        <v>123</v>
      </c>
      <c r="E17" s="149" t="s">
        <v>116</v>
      </c>
      <c r="F17" s="198">
        <v>29000000</v>
      </c>
      <c r="G17" s="223">
        <f t="shared" si="0"/>
        <v>464000000</v>
      </c>
    </row>
    <row r="18" spans="1:7" ht="285.75" customHeight="1" x14ac:dyDescent="0.2">
      <c r="A18" s="152" t="s">
        <v>174</v>
      </c>
      <c r="B18" s="147" t="s">
        <v>151</v>
      </c>
      <c r="C18" s="199">
        <v>2</v>
      </c>
      <c r="D18" s="199" t="s">
        <v>145</v>
      </c>
      <c r="E18" s="149" t="s">
        <v>152</v>
      </c>
      <c r="F18" s="198">
        <v>17400000</v>
      </c>
      <c r="G18" s="223">
        <f t="shared" si="0"/>
        <v>34800000</v>
      </c>
    </row>
    <row r="19" spans="1:7" ht="282" customHeight="1" x14ac:dyDescent="0.2">
      <c r="A19" s="152">
        <v>2.4</v>
      </c>
      <c r="B19" s="147" t="s">
        <v>176</v>
      </c>
      <c r="C19" s="199">
        <v>2</v>
      </c>
      <c r="D19" s="199" t="s">
        <v>145</v>
      </c>
      <c r="E19" s="149" t="s">
        <v>175</v>
      </c>
      <c r="F19" s="198">
        <v>14160000</v>
      </c>
      <c r="G19" s="223">
        <f t="shared" si="0"/>
        <v>28320000</v>
      </c>
    </row>
    <row r="20" spans="1:7" ht="291" customHeight="1" thickBot="1" x14ac:dyDescent="0.25">
      <c r="A20" s="152">
        <v>2.4</v>
      </c>
      <c r="B20" s="147" t="s">
        <v>153</v>
      </c>
      <c r="C20" s="199">
        <v>2</v>
      </c>
      <c r="D20" s="199" t="s">
        <v>145</v>
      </c>
      <c r="E20" s="149" t="s">
        <v>154</v>
      </c>
      <c r="F20" s="204">
        <v>23200000</v>
      </c>
      <c r="G20" s="223">
        <f t="shared" si="0"/>
        <v>46400000</v>
      </c>
    </row>
    <row r="21" spans="1:7" ht="55.5" customHeight="1" x14ac:dyDescent="0.2">
      <c r="A21" s="152">
        <v>2</v>
      </c>
      <c r="B21" s="147" t="s">
        <v>144</v>
      </c>
      <c r="C21" s="202">
        <v>10</v>
      </c>
      <c r="D21" s="202" t="s">
        <v>145</v>
      </c>
      <c r="E21" s="147" t="s">
        <v>146</v>
      </c>
      <c r="F21" s="224">
        <v>348000</v>
      </c>
      <c r="G21" s="223">
        <f t="shared" si="0"/>
        <v>3480000</v>
      </c>
    </row>
    <row r="22" spans="1:7" ht="216.75" customHeight="1" x14ac:dyDescent="0.2">
      <c r="A22" s="152">
        <v>2.1</v>
      </c>
      <c r="B22" s="147" t="s">
        <v>203</v>
      </c>
      <c r="C22" s="202">
        <v>48</v>
      </c>
      <c r="D22" s="202" t="s">
        <v>145</v>
      </c>
      <c r="E22" s="147" t="s">
        <v>147</v>
      </c>
      <c r="F22" s="208">
        <v>1160000</v>
      </c>
      <c r="G22" s="223">
        <f t="shared" si="0"/>
        <v>55680000</v>
      </c>
    </row>
    <row r="23" spans="1:7" ht="68.25" customHeight="1" x14ac:dyDescent="0.2">
      <c r="A23" s="152">
        <v>2.1</v>
      </c>
      <c r="B23" s="147" t="s">
        <v>148</v>
      </c>
      <c r="C23" s="202">
        <v>8</v>
      </c>
      <c r="D23" s="202" t="s">
        <v>145</v>
      </c>
      <c r="E23" s="147" t="s">
        <v>66</v>
      </c>
      <c r="F23" s="225">
        <v>8921000</v>
      </c>
      <c r="G23" s="223">
        <f t="shared" si="0"/>
        <v>71368000</v>
      </c>
    </row>
    <row r="24" spans="1:7" x14ac:dyDescent="0.2">
      <c r="A24" s="547">
        <v>2.1</v>
      </c>
      <c r="B24" s="550" t="s">
        <v>67</v>
      </c>
      <c r="C24" s="203">
        <v>8</v>
      </c>
      <c r="D24" s="199" t="s">
        <v>145</v>
      </c>
      <c r="E24" s="155" t="s">
        <v>68</v>
      </c>
      <c r="F24" s="226">
        <v>250000</v>
      </c>
      <c r="G24" s="223">
        <f t="shared" si="0"/>
        <v>2000000</v>
      </c>
    </row>
    <row r="25" spans="1:7" x14ac:dyDescent="0.2">
      <c r="A25" s="548"/>
      <c r="B25" s="550"/>
      <c r="C25" s="203">
        <v>8</v>
      </c>
      <c r="D25" s="199" t="s">
        <v>145</v>
      </c>
      <c r="E25" s="155" t="s">
        <v>69</v>
      </c>
      <c r="F25" s="226">
        <v>250000</v>
      </c>
      <c r="G25" s="223">
        <f t="shared" si="0"/>
        <v>2000000</v>
      </c>
    </row>
    <row r="26" spans="1:7" x14ac:dyDescent="0.2">
      <c r="A26" s="549"/>
      <c r="B26" s="550"/>
      <c r="C26" s="203">
        <v>8</v>
      </c>
      <c r="D26" s="199" t="s">
        <v>145</v>
      </c>
      <c r="E26" s="155" t="s">
        <v>70</v>
      </c>
      <c r="F26" s="226">
        <v>250000</v>
      </c>
      <c r="G26" s="223">
        <f t="shared" si="0"/>
        <v>2000000</v>
      </c>
    </row>
    <row r="27" spans="1:7" x14ac:dyDescent="0.2">
      <c r="A27" s="152">
        <v>2.1</v>
      </c>
      <c r="B27" s="156" t="s">
        <v>71</v>
      </c>
      <c r="C27" s="199">
        <v>8</v>
      </c>
      <c r="D27" s="199" t="s">
        <v>145</v>
      </c>
      <c r="E27" s="156" t="s">
        <v>72</v>
      </c>
      <c r="F27" s="226">
        <v>17325000</v>
      </c>
      <c r="G27" s="223">
        <f t="shared" si="0"/>
        <v>138600000</v>
      </c>
    </row>
    <row r="28" spans="1:7" ht="15.75" customHeight="1" x14ac:dyDescent="0.2">
      <c r="A28" s="152">
        <v>2.1</v>
      </c>
      <c r="B28" s="156" t="s">
        <v>71</v>
      </c>
      <c r="C28" s="199">
        <v>8</v>
      </c>
      <c r="D28" s="199" t="s">
        <v>145</v>
      </c>
      <c r="E28" s="156" t="s">
        <v>72</v>
      </c>
      <c r="F28" s="226">
        <v>17325000</v>
      </c>
      <c r="G28" s="223">
        <f t="shared" si="0"/>
        <v>138600000</v>
      </c>
    </row>
    <row r="29" spans="1:7" x14ac:dyDescent="0.2">
      <c r="A29" s="152">
        <v>2.1</v>
      </c>
      <c r="B29" s="157" t="s">
        <v>73</v>
      </c>
      <c r="C29" s="199">
        <v>8</v>
      </c>
      <c r="D29" s="199" t="s">
        <v>75</v>
      </c>
      <c r="E29" s="162" t="s">
        <v>74</v>
      </c>
      <c r="F29" s="226">
        <v>535500</v>
      </c>
      <c r="G29" s="223">
        <f t="shared" si="0"/>
        <v>4284000</v>
      </c>
    </row>
    <row r="30" spans="1:7" x14ac:dyDescent="0.2">
      <c r="A30" s="143"/>
      <c r="B30" s="142" t="s">
        <v>177</v>
      </c>
      <c r="C30" s="195"/>
      <c r="D30" s="196"/>
      <c r="E30" s="145"/>
      <c r="F30" s="145"/>
      <c r="G30" s="205"/>
    </row>
    <row r="31" spans="1:7" x14ac:dyDescent="0.2">
      <c r="A31" s="158">
        <v>1</v>
      </c>
      <c r="B31" s="156" t="s">
        <v>78</v>
      </c>
      <c r="C31" s="199">
        <v>1</v>
      </c>
      <c r="D31" s="206" t="s">
        <v>77</v>
      </c>
      <c r="E31" s="162"/>
      <c r="F31" s="227">
        <v>796700</v>
      </c>
      <c r="G31" s="223">
        <f t="shared" si="0"/>
        <v>796700</v>
      </c>
    </row>
    <row r="32" spans="1:7" x14ac:dyDescent="0.2">
      <c r="A32" s="158">
        <f t="shared" ref="A32:A67" si="1">+A31+1</f>
        <v>2</v>
      </c>
      <c r="B32" s="156" t="s">
        <v>79</v>
      </c>
      <c r="C32" s="207">
        <v>30000</v>
      </c>
      <c r="D32" s="206" t="s">
        <v>77</v>
      </c>
      <c r="E32" s="162"/>
      <c r="F32" s="227">
        <v>134.6</v>
      </c>
      <c r="G32" s="223">
        <f t="shared" si="0"/>
        <v>4038000</v>
      </c>
    </row>
    <row r="33" spans="1:7" x14ac:dyDescent="0.2">
      <c r="A33" s="158">
        <f t="shared" si="1"/>
        <v>3</v>
      </c>
      <c r="B33" s="156" t="s">
        <v>80</v>
      </c>
      <c r="C33" s="199">
        <v>1</v>
      </c>
      <c r="D33" s="206" t="s">
        <v>77</v>
      </c>
      <c r="E33" s="162"/>
      <c r="F33" s="227">
        <v>1849483</v>
      </c>
      <c r="G33" s="228">
        <f t="shared" si="0"/>
        <v>1849483</v>
      </c>
    </row>
    <row r="34" spans="1:7" x14ac:dyDescent="0.2">
      <c r="A34" s="158">
        <f t="shared" si="1"/>
        <v>4</v>
      </c>
      <c r="B34" s="156" t="s">
        <v>81</v>
      </c>
      <c r="C34" s="199">
        <v>2</v>
      </c>
      <c r="D34" s="206" t="s">
        <v>77</v>
      </c>
      <c r="E34" s="162"/>
      <c r="F34" s="227">
        <v>1223504</v>
      </c>
      <c r="G34" s="228">
        <f t="shared" si="0"/>
        <v>2447008</v>
      </c>
    </row>
    <row r="35" spans="1:7" x14ac:dyDescent="0.2">
      <c r="A35" s="158">
        <f t="shared" si="1"/>
        <v>5</v>
      </c>
      <c r="B35" s="156" t="s">
        <v>82</v>
      </c>
      <c r="C35" s="199">
        <v>4</v>
      </c>
      <c r="D35" s="206" t="s">
        <v>77</v>
      </c>
      <c r="E35" s="162"/>
      <c r="F35" s="227">
        <v>910514</v>
      </c>
      <c r="G35" s="228">
        <f t="shared" si="0"/>
        <v>3642056</v>
      </c>
    </row>
    <row r="36" spans="1:7" x14ac:dyDescent="0.2">
      <c r="A36" s="158">
        <f t="shared" si="1"/>
        <v>6</v>
      </c>
      <c r="B36" s="156" t="s">
        <v>137</v>
      </c>
      <c r="C36" s="199">
        <v>4</v>
      </c>
      <c r="D36" s="206" t="s">
        <v>77</v>
      </c>
      <c r="E36" s="162"/>
      <c r="F36" s="227">
        <v>1327835</v>
      </c>
      <c r="G36" s="228">
        <f t="shared" si="0"/>
        <v>5311340</v>
      </c>
    </row>
    <row r="37" spans="1:7" x14ac:dyDescent="0.2">
      <c r="A37" s="158">
        <f t="shared" si="1"/>
        <v>7</v>
      </c>
      <c r="B37" s="156" t="s">
        <v>138</v>
      </c>
      <c r="C37" s="207">
        <v>40000</v>
      </c>
      <c r="D37" s="206" t="s">
        <v>77</v>
      </c>
      <c r="E37" s="162"/>
      <c r="F37" s="227">
        <v>169.36</v>
      </c>
      <c r="G37" s="228">
        <f t="shared" si="0"/>
        <v>6774400.0000000009</v>
      </c>
    </row>
    <row r="38" spans="1:7" x14ac:dyDescent="0.2">
      <c r="A38" s="158">
        <f t="shared" si="1"/>
        <v>8</v>
      </c>
      <c r="B38" s="156" t="s">
        <v>139</v>
      </c>
      <c r="C38" s="199">
        <v>2</v>
      </c>
      <c r="D38" s="206" t="s">
        <v>77</v>
      </c>
      <c r="E38" s="162"/>
      <c r="F38" s="227">
        <v>1991753</v>
      </c>
      <c r="G38" s="228">
        <f t="shared" si="0"/>
        <v>3983506</v>
      </c>
    </row>
    <row r="39" spans="1:7" x14ac:dyDescent="0.2">
      <c r="A39" s="158">
        <f t="shared" si="1"/>
        <v>9</v>
      </c>
      <c r="B39" s="156" t="s">
        <v>140</v>
      </c>
      <c r="C39" s="207">
        <v>20000</v>
      </c>
      <c r="D39" s="206" t="s">
        <v>77</v>
      </c>
      <c r="E39" s="162"/>
      <c r="F39" s="227">
        <v>563.76</v>
      </c>
      <c r="G39" s="228">
        <f t="shared" si="0"/>
        <v>11275200</v>
      </c>
    </row>
    <row r="40" spans="1:7" x14ac:dyDescent="0.2">
      <c r="A40" s="158">
        <f t="shared" si="1"/>
        <v>10</v>
      </c>
      <c r="B40" s="156" t="s">
        <v>141</v>
      </c>
      <c r="C40" s="199">
        <v>2</v>
      </c>
      <c r="D40" s="206" t="s">
        <v>77</v>
      </c>
      <c r="E40" s="162"/>
      <c r="F40" s="227">
        <v>2655671</v>
      </c>
      <c r="G40" s="228">
        <f t="shared" si="0"/>
        <v>5311342</v>
      </c>
    </row>
    <row r="41" spans="1:7" x14ac:dyDescent="0.2">
      <c r="A41" s="158">
        <f t="shared" si="1"/>
        <v>11</v>
      </c>
      <c r="B41" s="156" t="s">
        <v>142</v>
      </c>
      <c r="C41" s="207">
        <v>20000</v>
      </c>
      <c r="D41" s="206" t="s">
        <v>77</v>
      </c>
      <c r="E41" s="162"/>
      <c r="F41" s="227">
        <v>350.32</v>
      </c>
      <c r="G41" s="228">
        <f t="shared" si="0"/>
        <v>7006400</v>
      </c>
    </row>
    <row r="42" spans="1:7" x14ac:dyDescent="0.2">
      <c r="A42" s="158">
        <f t="shared" si="1"/>
        <v>12</v>
      </c>
      <c r="B42" s="156" t="s">
        <v>133</v>
      </c>
      <c r="C42" s="207">
        <v>5000</v>
      </c>
      <c r="D42" s="206" t="s">
        <v>77</v>
      </c>
      <c r="E42" s="162"/>
      <c r="F42" s="227">
        <v>1102</v>
      </c>
      <c r="G42" s="228">
        <f t="shared" si="0"/>
        <v>5510000</v>
      </c>
    </row>
    <row r="43" spans="1:7" x14ac:dyDescent="0.2">
      <c r="A43" s="158">
        <f t="shared" si="1"/>
        <v>13</v>
      </c>
      <c r="B43" s="156" t="s">
        <v>229</v>
      </c>
      <c r="C43" s="207">
        <v>1</v>
      </c>
      <c r="D43" s="206" t="s">
        <v>77</v>
      </c>
      <c r="E43" s="162"/>
      <c r="F43" s="227">
        <v>643886</v>
      </c>
      <c r="G43" s="228">
        <f t="shared" si="0"/>
        <v>643886</v>
      </c>
    </row>
    <row r="44" spans="1:7" x14ac:dyDescent="0.2">
      <c r="A44" s="158">
        <f>+A43+1</f>
        <v>14</v>
      </c>
      <c r="B44" s="156" t="s">
        <v>124</v>
      </c>
      <c r="C44" s="207">
        <v>1</v>
      </c>
      <c r="D44" s="206" t="s">
        <v>77</v>
      </c>
      <c r="E44" s="162"/>
      <c r="F44" s="227">
        <v>368000</v>
      </c>
      <c r="G44" s="228">
        <f t="shared" si="0"/>
        <v>368000</v>
      </c>
    </row>
    <row r="45" spans="1:7" x14ac:dyDescent="0.2">
      <c r="A45" s="158">
        <f t="shared" si="1"/>
        <v>15</v>
      </c>
      <c r="B45" s="161" t="s">
        <v>125</v>
      </c>
      <c r="C45" s="207">
        <v>5000</v>
      </c>
      <c r="D45" s="206" t="s">
        <v>77</v>
      </c>
      <c r="E45" s="162"/>
      <c r="F45" s="227">
        <v>13200</v>
      </c>
      <c r="G45" s="228">
        <f t="shared" si="0"/>
        <v>66000000</v>
      </c>
    </row>
    <row r="46" spans="1:7" x14ac:dyDescent="0.2">
      <c r="A46" s="158">
        <f t="shared" si="1"/>
        <v>16</v>
      </c>
      <c r="B46" s="161" t="s">
        <v>126</v>
      </c>
      <c r="C46" s="199">
        <v>1</v>
      </c>
      <c r="D46" s="206" t="s">
        <v>77</v>
      </c>
      <c r="E46" s="162"/>
      <c r="F46" s="227">
        <v>5121648</v>
      </c>
      <c r="G46" s="228">
        <f t="shared" si="0"/>
        <v>5121648</v>
      </c>
    </row>
    <row r="47" spans="1:7" x14ac:dyDescent="0.2">
      <c r="A47" s="158">
        <f t="shared" si="1"/>
        <v>17</v>
      </c>
      <c r="B47" s="161" t="s">
        <v>134</v>
      </c>
      <c r="C47" s="207">
        <v>5000</v>
      </c>
      <c r="D47" s="206" t="s">
        <v>77</v>
      </c>
      <c r="E47" s="162"/>
      <c r="F47" s="227">
        <v>2062.5</v>
      </c>
      <c r="G47" s="228">
        <f t="shared" si="0"/>
        <v>10312500</v>
      </c>
    </row>
    <row r="48" spans="1:7" x14ac:dyDescent="0.2">
      <c r="A48" s="158">
        <f t="shared" si="1"/>
        <v>18</v>
      </c>
      <c r="B48" s="156" t="s">
        <v>83</v>
      </c>
      <c r="C48" s="199">
        <v>5</v>
      </c>
      <c r="D48" s="206" t="s">
        <v>77</v>
      </c>
      <c r="E48" s="162"/>
      <c r="F48" s="227">
        <v>466639</v>
      </c>
      <c r="G48" s="228">
        <f t="shared" si="0"/>
        <v>2333195</v>
      </c>
    </row>
    <row r="49" spans="1:8" ht="25.5" x14ac:dyDescent="0.2">
      <c r="A49" s="158">
        <f t="shared" si="1"/>
        <v>19</v>
      </c>
      <c r="B49" s="156" t="s">
        <v>135</v>
      </c>
      <c r="C49" s="199">
        <v>40</v>
      </c>
      <c r="D49" s="206" t="s">
        <v>77</v>
      </c>
      <c r="E49" s="162" t="s">
        <v>156</v>
      </c>
      <c r="F49" s="227">
        <v>191400</v>
      </c>
      <c r="G49" s="228">
        <f t="shared" si="0"/>
        <v>7656000</v>
      </c>
    </row>
    <row r="50" spans="1:8" x14ac:dyDescent="0.2">
      <c r="A50" s="158">
        <f t="shared" si="1"/>
        <v>20</v>
      </c>
      <c r="B50" s="156" t="s">
        <v>84</v>
      </c>
      <c r="C50" s="199">
        <v>1</v>
      </c>
      <c r="D50" s="206" t="s">
        <v>77</v>
      </c>
      <c r="E50" s="162"/>
      <c r="F50" s="227">
        <v>466639</v>
      </c>
      <c r="G50" s="228">
        <f t="shared" si="0"/>
        <v>466639</v>
      </c>
    </row>
    <row r="51" spans="1:8" ht="25.5" x14ac:dyDescent="0.2">
      <c r="A51" s="158">
        <f t="shared" si="1"/>
        <v>21</v>
      </c>
      <c r="B51" s="156" t="s">
        <v>85</v>
      </c>
      <c r="C51" s="199">
        <v>2</v>
      </c>
      <c r="D51" s="206" t="s">
        <v>77</v>
      </c>
      <c r="E51" s="162" t="s">
        <v>156</v>
      </c>
      <c r="F51" s="227">
        <v>425000</v>
      </c>
      <c r="G51" s="228">
        <f t="shared" si="0"/>
        <v>850000</v>
      </c>
    </row>
    <row r="52" spans="1:8" x14ac:dyDescent="0.2">
      <c r="A52" s="158">
        <f t="shared" si="1"/>
        <v>22</v>
      </c>
      <c r="B52" s="156" t="s">
        <v>86</v>
      </c>
      <c r="C52" s="199">
        <v>1</v>
      </c>
      <c r="D52" s="206" t="s">
        <v>77</v>
      </c>
      <c r="E52" s="162"/>
      <c r="F52" s="227">
        <v>466639</v>
      </c>
      <c r="G52" s="228">
        <f t="shared" si="0"/>
        <v>466639</v>
      </c>
    </row>
    <row r="53" spans="1:8" ht="38.25" x14ac:dyDescent="0.2">
      <c r="A53" s="158">
        <f t="shared" si="1"/>
        <v>23</v>
      </c>
      <c r="B53" s="156" t="s">
        <v>87</v>
      </c>
      <c r="C53" s="199">
        <v>1</v>
      </c>
      <c r="D53" s="206" t="s">
        <v>77</v>
      </c>
      <c r="E53" s="162" t="s">
        <v>157</v>
      </c>
      <c r="F53" s="227">
        <v>87000</v>
      </c>
      <c r="G53" s="228">
        <f t="shared" si="0"/>
        <v>87000</v>
      </c>
      <c r="H53" s="137" t="s">
        <v>230</v>
      </c>
    </row>
    <row r="54" spans="1:8" x14ac:dyDescent="0.2">
      <c r="A54" s="158">
        <f t="shared" si="1"/>
        <v>24</v>
      </c>
      <c r="B54" s="156" t="s">
        <v>88</v>
      </c>
      <c r="C54" s="199">
        <v>1</v>
      </c>
      <c r="D54" s="206" t="s">
        <v>77</v>
      </c>
      <c r="E54" s="162"/>
      <c r="F54" s="227">
        <v>466639</v>
      </c>
      <c r="G54" s="228">
        <f t="shared" si="0"/>
        <v>466639</v>
      </c>
    </row>
    <row r="55" spans="1:8" ht="38.25" x14ac:dyDescent="0.2">
      <c r="A55" s="158">
        <f t="shared" si="1"/>
        <v>25</v>
      </c>
      <c r="B55" s="156" t="s">
        <v>89</v>
      </c>
      <c r="C55" s="199">
        <v>2</v>
      </c>
      <c r="D55" s="206" t="s">
        <v>77</v>
      </c>
      <c r="E55" s="162" t="s">
        <v>157</v>
      </c>
      <c r="F55" s="227">
        <v>174000</v>
      </c>
      <c r="G55" s="228">
        <f t="shared" si="0"/>
        <v>348000</v>
      </c>
      <c r="H55" s="137" t="s">
        <v>230</v>
      </c>
    </row>
    <row r="56" spans="1:8" x14ac:dyDescent="0.2">
      <c r="A56" s="158">
        <f>+A55+1</f>
        <v>26</v>
      </c>
      <c r="B56" s="156" t="s">
        <v>90</v>
      </c>
      <c r="C56" s="199">
        <v>1</v>
      </c>
      <c r="D56" s="206" t="s">
        <v>77</v>
      </c>
      <c r="E56" s="162"/>
      <c r="F56" s="227">
        <v>1079340</v>
      </c>
      <c r="G56" s="228">
        <f t="shared" si="0"/>
        <v>1079340</v>
      </c>
    </row>
    <row r="57" spans="1:8" ht="38.25" x14ac:dyDescent="0.2">
      <c r="A57" s="158">
        <f t="shared" si="1"/>
        <v>27</v>
      </c>
      <c r="B57" s="156" t="s">
        <v>91</v>
      </c>
      <c r="C57" s="199">
        <v>2</v>
      </c>
      <c r="D57" s="206" t="s">
        <v>77</v>
      </c>
      <c r="E57" s="162" t="s">
        <v>157</v>
      </c>
      <c r="F57" s="227">
        <v>261000</v>
      </c>
      <c r="G57" s="228">
        <f t="shared" si="0"/>
        <v>522000</v>
      </c>
      <c r="H57" s="137" t="s">
        <v>230</v>
      </c>
    </row>
    <row r="58" spans="1:8" x14ac:dyDescent="0.2">
      <c r="A58" s="158">
        <f t="shared" si="1"/>
        <v>28</v>
      </c>
      <c r="B58" s="156" t="s">
        <v>92</v>
      </c>
      <c r="C58" s="199">
        <v>1</v>
      </c>
      <c r="D58" s="206" t="s">
        <v>77</v>
      </c>
      <c r="E58" s="162"/>
      <c r="F58" s="227">
        <v>1079340</v>
      </c>
      <c r="G58" s="228">
        <f t="shared" si="0"/>
        <v>1079340</v>
      </c>
    </row>
    <row r="59" spans="1:8" ht="38.25" x14ac:dyDescent="0.2">
      <c r="A59" s="158">
        <f t="shared" si="1"/>
        <v>29</v>
      </c>
      <c r="B59" s="156" t="s">
        <v>93</v>
      </c>
      <c r="C59" s="199">
        <v>1</v>
      </c>
      <c r="D59" s="206" t="s">
        <v>77</v>
      </c>
      <c r="E59" s="162" t="s">
        <v>157</v>
      </c>
      <c r="F59" s="227">
        <v>174000</v>
      </c>
      <c r="G59" s="228">
        <f t="shared" si="0"/>
        <v>174000</v>
      </c>
      <c r="H59" s="137" t="s">
        <v>230</v>
      </c>
    </row>
    <row r="60" spans="1:8" x14ac:dyDescent="0.2">
      <c r="A60" s="158">
        <f t="shared" si="1"/>
        <v>30</v>
      </c>
      <c r="B60" s="156" t="s">
        <v>94</v>
      </c>
      <c r="C60" s="199">
        <v>1</v>
      </c>
      <c r="D60" s="206" t="s">
        <v>77</v>
      </c>
      <c r="E60" s="162"/>
      <c r="F60" s="227">
        <v>1079340</v>
      </c>
      <c r="G60" s="228">
        <f t="shared" si="0"/>
        <v>1079340</v>
      </c>
    </row>
    <row r="61" spans="1:8" ht="38.25" x14ac:dyDescent="0.2">
      <c r="A61" s="158">
        <f t="shared" si="1"/>
        <v>31</v>
      </c>
      <c r="B61" s="156" t="s">
        <v>95</v>
      </c>
      <c r="C61" s="199">
        <v>1</v>
      </c>
      <c r="D61" s="206" t="s">
        <v>77</v>
      </c>
      <c r="E61" s="162" t="s">
        <v>157</v>
      </c>
      <c r="F61" s="227">
        <v>522000</v>
      </c>
      <c r="G61" s="228">
        <f t="shared" si="0"/>
        <v>522000</v>
      </c>
      <c r="H61" s="137" t="s">
        <v>230</v>
      </c>
    </row>
    <row r="62" spans="1:8" x14ac:dyDescent="0.2">
      <c r="A62" s="158">
        <f t="shared" si="1"/>
        <v>32</v>
      </c>
      <c r="B62" s="156" t="s">
        <v>96</v>
      </c>
      <c r="C62" s="199">
        <v>1</v>
      </c>
      <c r="D62" s="206" t="s">
        <v>77</v>
      </c>
      <c r="E62" s="162"/>
      <c r="F62" s="227"/>
      <c r="G62" s="228">
        <f t="shared" si="0"/>
        <v>0</v>
      </c>
    </row>
    <row r="63" spans="1:8" x14ac:dyDescent="0.2">
      <c r="A63" s="158">
        <f t="shared" si="1"/>
        <v>33</v>
      </c>
      <c r="B63" s="156" t="s">
        <v>97</v>
      </c>
      <c r="C63" s="199">
        <v>1</v>
      </c>
      <c r="D63" s="206" t="s">
        <v>77</v>
      </c>
      <c r="E63" s="162"/>
      <c r="F63" s="227"/>
      <c r="G63" s="228">
        <f t="shared" si="0"/>
        <v>0</v>
      </c>
    </row>
    <row r="64" spans="1:8" x14ac:dyDescent="0.2">
      <c r="A64" s="158">
        <f t="shared" si="1"/>
        <v>34</v>
      </c>
      <c r="B64" s="156" t="s">
        <v>98</v>
      </c>
      <c r="C64" s="199">
        <v>1</v>
      </c>
      <c r="D64" s="206" t="s">
        <v>77</v>
      </c>
      <c r="E64" s="162"/>
      <c r="F64" s="227"/>
      <c r="G64" s="228">
        <f t="shared" si="0"/>
        <v>0</v>
      </c>
    </row>
    <row r="65" spans="1:7" x14ac:dyDescent="0.2">
      <c r="A65" s="158">
        <f t="shared" si="1"/>
        <v>35</v>
      </c>
      <c r="B65" s="156" t="s">
        <v>99</v>
      </c>
      <c r="C65" s="199">
        <v>1</v>
      </c>
      <c r="D65" s="206" t="s">
        <v>77</v>
      </c>
      <c r="E65" s="162"/>
      <c r="F65" s="227"/>
      <c r="G65" s="228">
        <f t="shared" si="0"/>
        <v>0</v>
      </c>
    </row>
    <row r="66" spans="1:7" x14ac:dyDescent="0.2">
      <c r="A66" s="158">
        <f t="shared" si="1"/>
        <v>36</v>
      </c>
      <c r="B66" s="156" t="s">
        <v>100</v>
      </c>
      <c r="C66" s="199">
        <v>1</v>
      </c>
      <c r="D66" s="199" t="s">
        <v>77</v>
      </c>
      <c r="E66" s="162"/>
      <c r="F66" s="227"/>
      <c r="G66" s="228">
        <f t="shared" si="0"/>
        <v>0</v>
      </c>
    </row>
    <row r="67" spans="1:7" x14ac:dyDescent="0.2">
      <c r="A67" s="158">
        <f t="shared" si="1"/>
        <v>37</v>
      </c>
      <c r="B67" s="156" t="s">
        <v>155</v>
      </c>
      <c r="C67" s="199">
        <v>5000</v>
      </c>
      <c r="D67" s="206"/>
      <c r="E67" s="162"/>
      <c r="F67" s="227">
        <v>4060</v>
      </c>
      <c r="G67" s="228">
        <f t="shared" si="0"/>
        <v>20300000</v>
      </c>
    </row>
    <row r="68" spans="1:7" ht="14.25" customHeight="1" x14ac:dyDescent="0.2">
      <c r="A68" s="143"/>
      <c r="B68" s="551" t="s">
        <v>178</v>
      </c>
      <c r="C68" s="552"/>
      <c r="D68" s="552"/>
      <c r="E68" s="552"/>
      <c r="F68" s="552"/>
      <c r="G68" s="553"/>
    </row>
    <row r="69" spans="1:7" x14ac:dyDescent="0.2">
      <c r="A69" s="158">
        <v>1</v>
      </c>
      <c r="B69" s="156" t="s">
        <v>163</v>
      </c>
      <c r="C69" s="228">
        <v>1</v>
      </c>
      <c r="D69" s="206" t="s">
        <v>77</v>
      </c>
      <c r="E69" s="162"/>
      <c r="F69" s="435">
        <v>663917</v>
      </c>
      <c r="G69" s="223">
        <f t="shared" si="0"/>
        <v>663917</v>
      </c>
    </row>
    <row r="70" spans="1:7" x14ac:dyDescent="0.2">
      <c r="A70" s="158">
        <v>2</v>
      </c>
      <c r="B70" s="156" t="s">
        <v>213</v>
      </c>
      <c r="C70" s="228">
        <v>58500</v>
      </c>
      <c r="D70" s="206"/>
      <c r="E70" s="162"/>
      <c r="F70" s="435">
        <v>223.88</v>
      </c>
      <c r="G70" s="223">
        <f t="shared" si="0"/>
        <v>13096980</v>
      </c>
    </row>
    <row r="71" spans="1:7" ht="27.75" customHeight="1" x14ac:dyDescent="0.2">
      <c r="A71" s="158">
        <v>5</v>
      </c>
      <c r="B71" s="156" t="s">
        <v>167</v>
      </c>
      <c r="C71" s="228">
        <v>1</v>
      </c>
      <c r="D71" s="206" t="s">
        <v>77</v>
      </c>
      <c r="E71" s="162"/>
      <c r="F71" s="435">
        <v>360413</v>
      </c>
      <c r="G71" s="223">
        <f t="shared" si="0"/>
        <v>360413</v>
      </c>
    </row>
    <row r="72" spans="1:7" ht="38.25" customHeight="1" x14ac:dyDescent="0.2">
      <c r="A72" s="158">
        <v>6</v>
      </c>
      <c r="B72" s="156" t="s">
        <v>168</v>
      </c>
      <c r="C72" s="228">
        <v>29250</v>
      </c>
      <c r="D72" s="206"/>
      <c r="E72" s="162"/>
      <c r="F72" s="435">
        <v>266.8</v>
      </c>
      <c r="G72" s="223">
        <f t="shared" si="0"/>
        <v>7803900</v>
      </c>
    </row>
    <row r="73" spans="1:7" hidden="1" x14ac:dyDescent="0.2">
      <c r="A73" s="158">
        <v>7</v>
      </c>
      <c r="B73" s="156" t="s">
        <v>149</v>
      </c>
      <c r="C73" s="228">
        <v>29250</v>
      </c>
      <c r="D73" s="206" t="s">
        <v>77</v>
      </c>
      <c r="E73" s="162"/>
      <c r="F73" s="198"/>
      <c r="G73" s="223">
        <f t="shared" si="0"/>
        <v>0</v>
      </c>
    </row>
    <row r="74" spans="1:7" ht="12.75" hidden="1" customHeight="1" x14ac:dyDescent="0.2">
      <c r="A74" s="158">
        <v>8</v>
      </c>
      <c r="B74" s="156" t="s">
        <v>150</v>
      </c>
      <c r="C74" s="228">
        <v>29250</v>
      </c>
      <c r="D74" s="206" t="s">
        <v>77</v>
      </c>
      <c r="E74" s="162"/>
      <c r="F74" s="198"/>
      <c r="G74" s="223">
        <f t="shared" si="0"/>
        <v>0</v>
      </c>
    </row>
    <row r="75" spans="1:7" ht="41.25" hidden="1" customHeight="1" x14ac:dyDescent="0.2">
      <c r="A75" s="146">
        <v>9</v>
      </c>
      <c r="B75" s="156" t="s">
        <v>76</v>
      </c>
      <c r="C75" s="228">
        <v>29250</v>
      </c>
      <c r="D75" s="206" t="s">
        <v>77</v>
      </c>
      <c r="E75" s="162" t="s">
        <v>159</v>
      </c>
      <c r="F75" s="198"/>
      <c r="G75" s="223">
        <f t="shared" ref="G75:G79" si="2">+F75*C75</f>
        <v>0</v>
      </c>
    </row>
    <row r="76" spans="1:7" ht="14.25" customHeight="1" x14ac:dyDescent="0.2">
      <c r="A76" s="143"/>
      <c r="B76" s="142" t="s">
        <v>179</v>
      </c>
      <c r="C76" s="144"/>
      <c r="D76" s="142"/>
      <c r="E76" s="145"/>
      <c r="F76" s="145"/>
      <c r="G76" s="197"/>
    </row>
    <row r="77" spans="1:7" x14ac:dyDescent="0.2">
      <c r="A77" s="158" t="s">
        <v>180</v>
      </c>
      <c r="B77" s="156" t="s">
        <v>143</v>
      </c>
      <c r="C77" s="229">
        <v>1</v>
      </c>
      <c r="D77" s="206" t="s">
        <v>106</v>
      </c>
      <c r="E77" s="162" t="s">
        <v>130</v>
      </c>
      <c r="F77" s="227">
        <v>35000000</v>
      </c>
      <c r="G77" s="223">
        <f t="shared" si="2"/>
        <v>35000000</v>
      </c>
    </row>
    <row r="78" spans="1:7" x14ac:dyDescent="0.2">
      <c r="A78" s="158" t="s">
        <v>181</v>
      </c>
      <c r="B78" s="156" t="s">
        <v>118</v>
      </c>
      <c r="C78" s="229">
        <v>1</v>
      </c>
      <c r="D78" s="206" t="s">
        <v>119</v>
      </c>
      <c r="E78" s="163" t="s">
        <v>109</v>
      </c>
      <c r="F78" s="227">
        <v>235000000</v>
      </c>
      <c r="G78" s="223">
        <f t="shared" si="2"/>
        <v>235000000</v>
      </c>
    </row>
    <row r="79" spans="1:7" ht="42" customHeight="1" x14ac:dyDescent="0.2">
      <c r="A79" s="158" t="s">
        <v>182</v>
      </c>
      <c r="B79" s="156" t="s">
        <v>120</v>
      </c>
      <c r="C79" s="228">
        <v>4000</v>
      </c>
      <c r="D79" s="206" t="s">
        <v>108</v>
      </c>
      <c r="E79" s="164" t="s">
        <v>158</v>
      </c>
      <c r="F79" s="198">
        <v>500</v>
      </c>
      <c r="G79" s="223">
        <f t="shared" si="2"/>
        <v>2000000</v>
      </c>
    </row>
    <row r="80" spans="1:7" ht="25.5" hidden="1" x14ac:dyDescent="0.2">
      <c r="A80" s="143"/>
      <c r="B80" s="165" t="s">
        <v>121</v>
      </c>
      <c r="C80" s="144"/>
      <c r="D80" s="142"/>
      <c r="E80" s="145"/>
      <c r="F80" s="145"/>
      <c r="G80" s="205"/>
    </row>
    <row r="81" spans="1:8" hidden="1" x14ac:dyDescent="0.2">
      <c r="A81" s="158"/>
      <c r="B81" s="156" t="s">
        <v>122</v>
      </c>
      <c r="C81" s="151"/>
      <c r="D81" s="159"/>
      <c r="E81" s="162"/>
      <c r="F81" s="227"/>
      <c r="G81" s="223"/>
    </row>
    <row r="82" spans="1:8" x14ac:dyDescent="0.2">
      <c r="A82" s="143"/>
      <c r="B82" s="165" t="s">
        <v>183</v>
      </c>
      <c r="C82" s="144"/>
      <c r="D82" s="142"/>
      <c r="E82" s="145"/>
      <c r="F82" s="145"/>
      <c r="G82" s="205"/>
    </row>
    <row r="83" spans="1:8" ht="38.25" x14ac:dyDescent="0.2">
      <c r="A83" s="146" t="s">
        <v>184</v>
      </c>
      <c r="B83" s="147" t="s">
        <v>162</v>
      </c>
      <c r="C83" s="230">
        <v>1</v>
      </c>
      <c r="D83" s="231" t="s">
        <v>77</v>
      </c>
      <c r="E83" s="163" t="s">
        <v>169</v>
      </c>
      <c r="F83" s="198">
        <v>96000000</v>
      </c>
      <c r="G83" s="223">
        <f t="shared" ref="G83:G85" si="3">+F83*C83</f>
        <v>96000000</v>
      </c>
    </row>
    <row r="84" spans="1:8" x14ac:dyDescent="0.2">
      <c r="A84" s="167"/>
      <c r="B84" s="168" t="s">
        <v>185</v>
      </c>
      <c r="C84" s="169"/>
      <c r="D84" s="168"/>
      <c r="E84" s="170"/>
      <c r="F84" s="170"/>
      <c r="G84" s="205"/>
    </row>
    <row r="85" spans="1:8" ht="143.25" customHeight="1" x14ac:dyDescent="0.2">
      <c r="A85" s="146">
        <v>2.6</v>
      </c>
      <c r="B85" s="156" t="s">
        <v>103</v>
      </c>
      <c r="C85" s="199">
        <v>10</v>
      </c>
      <c r="D85" s="199" t="s">
        <v>105</v>
      </c>
      <c r="E85" s="149" t="s">
        <v>104</v>
      </c>
      <c r="F85" s="198">
        <v>11210000</v>
      </c>
      <c r="G85" s="223">
        <f t="shared" si="3"/>
        <v>112100000</v>
      </c>
      <c r="H85" s="171"/>
    </row>
  </sheetData>
  <mergeCells count="5">
    <mergeCell ref="A8:G8"/>
    <mergeCell ref="A9:B9"/>
    <mergeCell ref="A24:A26"/>
    <mergeCell ref="B24:B26"/>
    <mergeCell ref="B68:G68"/>
  </mergeCells>
  <pageMargins left="0.70866141732283472" right="0.70866141732283472" top="0.74803149606299213" bottom="0.74803149606299213" header="0.31496062992125984" footer="0.31496062992125984"/>
  <pageSetup scale="57" orientation="landscape" r:id="rId1"/>
  <rowBreaks count="2" manualBreakCount="2">
    <brk id="43" max="6" man="1"/>
    <brk id="81" max="6"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2"/>
  <sheetViews>
    <sheetView topLeftCell="A16" zoomScale="64" zoomScaleNormal="64" workbookViewId="0">
      <selection activeCell="B66" sqref="B66"/>
    </sheetView>
  </sheetViews>
  <sheetFormatPr baseColWidth="10" defaultColWidth="10.85546875" defaultRowHeight="12.75" x14ac:dyDescent="0.2"/>
  <cols>
    <col min="1" max="1" width="7.42578125" style="172" bestFit="1" customWidth="1"/>
    <col min="2" max="2" width="83" style="173" customWidth="1"/>
    <col min="3" max="3" width="14.140625" style="174" customWidth="1"/>
    <col min="4" max="4" width="20.7109375" style="174" bestFit="1" customWidth="1"/>
    <col min="5" max="5" width="65.28515625" style="175" customWidth="1"/>
    <col min="6" max="6" width="14.5703125" style="137" bestFit="1" customWidth="1"/>
    <col min="7" max="7" width="20.28515625" style="188" bestFit="1" customWidth="1"/>
    <col min="8" max="16384" width="10.85546875" style="137"/>
  </cols>
  <sheetData>
    <row r="1" spans="1:7" x14ac:dyDescent="0.2">
      <c r="B1" s="176" t="s">
        <v>195</v>
      </c>
      <c r="D1" s="232" t="s">
        <v>234</v>
      </c>
    </row>
    <row r="2" spans="1:7" x14ac:dyDescent="0.2">
      <c r="B2" s="176" t="s">
        <v>196</v>
      </c>
      <c r="D2" s="233" t="s">
        <v>235</v>
      </c>
    </row>
    <row r="3" spans="1:7" x14ac:dyDescent="0.2">
      <c r="B3" s="176" t="s">
        <v>197</v>
      </c>
      <c r="D3" s="233" t="s">
        <v>236</v>
      </c>
    </row>
    <row r="4" spans="1:7" x14ac:dyDescent="0.2">
      <c r="B4" s="177" t="s">
        <v>161</v>
      </c>
      <c r="D4" s="233" t="s">
        <v>235</v>
      </c>
    </row>
    <row r="5" spans="1:7" x14ac:dyDescent="0.2">
      <c r="B5" s="176" t="s">
        <v>160</v>
      </c>
      <c r="D5" s="233" t="s">
        <v>237</v>
      </c>
    </row>
    <row r="6" spans="1:7" x14ac:dyDescent="0.2">
      <c r="B6" s="176" t="s">
        <v>198</v>
      </c>
      <c r="D6" s="233" t="s">
        <v>238</v>
      </c>
    </row>
    <row r="8" spans="1:7" ht="15" customHeight="1" x14ac:dyDescent="0.2">
      <c r="A8" s="544" t="s">
        <v>102</v>
      </c>
      <c r="B8" s="544"/>
      <c r="C8" s="544"/>
      <c r="D8" s="544"/>
      <c r="E8" s="544"/>
      <c r="F8" s="544"/>
      <c r="G8" s="544"/>
    </row>
    <row r="9" spans="1:7" ht="25.5" x14ac:dyDescent="0.2">
      <c r="A9" s="545" t="s">
        <v>62</v>
      </c>
      <c r="B9" s="546"/>
      <c r="C9" s="138" t="s">
        <v>63</v>
      </c>
      <c r="D9" s="139" t="s">
        <v>64</v>
      </c>
      <c r="E9" s="253" t="s">
        <v>65</v>
      </c>
      <c r="F9" s="191" t="s">
        <v>101</v>
      </c>
      <c r="G9" s="192" t="s">
        <v>61</v>
      </c>
    </row>
    <row r="10" spans="1:7" x14ac:dyDescent="0.2">
      <c r="A10" s="141"/>
      <c r="B10" s="142" t="s">
        <v>117</v>
      </c>
      <c r="C10" s="138"/>
      <c r="D10" s="139"/>
      <c r="E10" s="253"/>
      <c r="F10" s="191"/>
      <c r="G10" s="192"/>
    </row>
    <row r="11" spans="1:7" x14ac:dyDescent="0.2">
      <c r="A11" s="143" t="s">
        <v>129</v>
      </c>
      <c r="B11" s="142" t="s">
        <v>170</v>
      </c>
      <c r="C11" s="144"/>
      <c r="D11" s="142"/>
      <c r="E11" s="145"/>
      <c r="F11" s="145"/>
      <c r="G11" s="197"/>
    </row>
    <row r="12" spans="1:7" ht="91.5" customHeight="1" x14ac:dyDescent="0.2">
      <c r="A12" s="146" t="s">
        <v>171</v>
      </c>
      <c r="B12" s="147" t="s">
        <v>127</v>
      </c>
      <c r="C12" s="148">
        <v>3</v>
      </c>
      <c r="D12" s="148" t="s">
        <v>111</v>
      </c>
      <c r="E12" s="149" t="s">
        <v>131</v>
      </c>
      <c r="F12" s="234">
        <v>14000000</v>
      </c>
      <c r="G12" s="223">
        <f>+F12*C12</f>
        <v>42000000</v>
      </c>
    </row>
    <row r="13" spans="1:7" ht="99" customHeight="1" x14ac:dyDescent="0.2">
      <c r="A13" s="150" t="s">
        <v>171</v>
      </c>
      <c r="B13" s="147" t="s">
        <v>128</v>
      </c>
      <c r="C13" s="148">
        <v>2</v>
      </c>
      <c r="D13" s="148" t="s">
        <v>111</v>
      </c>
      <c r="E13" s="149" t="s">
        <v>132</v>
      </c>
      <c r="F13" s="234">
        <v>12600000</v>
      </c>
      <c r="G13" s="223">
        <f t="shared" ref="G13:G76" si="0">+F13*C13</f>
        <v>25200000</v>
      </c>
    </row>
    <row r="14" spans="1:7" ht="162" customHeight="1" x14ac:dyDescent="0.2">
      <c r="A14" s="150" t="s">
        <v>171</v>
      </c>
      <c r="B14" s="147" t="s">
        <v>186</v>
      </c>
      <c r="C14" s="148">
        <v>5</v>
      </c>
      <c r="D14" s="148" t="s">
        <v>110</v>
      </c>
      <c r="E14" s="149" t="s">
        <v>136</v>
      </c>
      <c r="F14" s="234">
        <v>15400000</v>
      </c>
      <c r="G14" s="223">
        <f t="shared" si="0"/>
        <v>77000000</v>
      </c>
    </row>
    <row r="15" spans="1:7" ht="162.75" customHeight="1" x14ac:dyDescent="0.2">
      <c r="A15" s="146" t="s">
        <v>171</v>
      </c>
      <c r="B15" s="147" t="s">
        <v>187</v>
      </c>
      <c r="C15" s="148">
        <v>5</v>
      </c>
      <c r="D15" s="148" t="s">
        <v>110</v>
      </c>
      <c r="E15" s="149" t="s">
        <v>112</v>
      </c>
      <c r="F15" s="234">
        <v>18200000</v>
      </c>
      <c r="G15" s="223">
        <f t="shared" si="0"/>
        <v>91000000</v>
      </c>
    </row>
    <row r="16" spans="1:7" ht="25.5" x14ac:dyDescent="0.2">
      <c r="A16" s="146" t="s">
        <v>172</v>
      </c>
      <c r="B16" s="147" t="s">
        <v>113</v>
      </c>
      <c r="C16" s="148">
        <v>6</v>
      </c>
      <c r="D16" s="148" t="s">
        <v>114</v>
      </c>
      <c r="E16" s="149" t="s">
        <v>115</v>
      </c>
      <c r="F16" s="234">
        <v>23800000</v>
      </c>
      <c r="G16" s="223">
        <f t="shared" si="0"/>
        <v>142800000</v>
      </c>
    </row>
    <row r="17" spans="1:7" ht="43.5" customHeight="1" x14ac:dyDescent="0.2">
      <c r="A17" s="146" t="s">
        <v>173</v>
      </c>
      <c r="B17" s="147" t="s">
        <v>107</v>
      </c>
      <c r="C17" s="151">
        <v>16</v>
      </c>
      <c r="D17" s="148" t="s">
        <v>123</v>
      </c>
      <c r="E17" s="149" t="s">
        <v>116</v>
      </c>
      <c r="F17" s="234">
        <v>26600000</v>
      </c>
      <c r="G17" s="223">
        <f t="shared" si="0"/>
        <v>425600000</v>
      </c>
    </row>
    <row r="18" spans="1:7" ht="285.75" customHeight="1" x14ac:dyDescent="0.2">
      <c r="A18" s="152" t="s">
        <v>174</v>
      </c>
      <c r="B18" s="147" t="s">
        <v>151</v>
      </c>
      <c r="C18" s="148">
        <v>2</v>
      </c>
      <c r="D18" s="148" t="s">
        <v>145</v>
      </c>
      <c r="E18" s="149" t="s">
        <v>152</v>
      </c>
      <c r="F18" s="200">
        <v>4384800</v>
      </c>
      <c r="G18" s="207">
        <f t="shared" si="0"/>
        <v>8769600</v>
      </c>
    </row>
    <row r="19" spans="1:7" ht="270" customHeight="1" x14ac:dyDescent="0.2">
      <c r="A19" s="152">
        <v>2.4</v>
      </c>
      <c r="B19" s="147" t="s">
        <v>176</v>
      </c>
      <c r="C19" s="148">
        <v>2</v>
      </c>
      <c r="D19" s="148" t="s">
        <v>145</v>
      </c>
      <c r="E19" s="149" t="s">
        <v>175</v>
      </c>
      <c r="F19" s="235">
        <v>8769600</v>
      </c>
      <c r="G19" s="223">
        <f t="shared" si="0"/>
        <v>17539200</v>
      </c>
    </row>
    <row r="20" spans="1:7" ht="270" customHeight="1" thickBot="1" x14ac:dyDescent="0.25">
      <c r="A20" s="152">
        <v>2.4</v>
      </c>
      <c r="B20" s="147" t="s">
        <v>153</v>
      </c>
      <c r="C20" s="148">
        <v>2</v>
      </c>
      <c r="D20" s="148" t="s">
        <v>145</v>
      </c>
      <c r="E20" s="149" t="s">
        <v>154</v>
      </c>
      <c r="F20" s="235">
        <v>8769600</v>
      </c>
      <c r="G20" s="223">
        <f t="shared" si="0"/>
        <v>17539200</v>
      </c>
    </row>
    <row r="21" spans="1:7" ht="55.5" customHeight="1" x14ac:dyDescent="0.2">
      <c r="A21" s="152">
        <v>2</v>
      </c>
      <c r="B21" s="147" t="s">
        <v>144</v>
      </c>
      <c r="C21" s="147">
        <v>10</v>
      </c>
      <c r="D21" s="147" t="s">
        <v>145</v>
      </c>
      <c r="E21" s="147" t="s">
        <v>146</v>
      </c>
      <c r="F21" s="236">
        <v>252000</v>
      </c>
      <c r="G21" s="209">
        <f t="shared" si="0"/>
        <v>2520000</v>
      </c>
    </row>
    <row r="22" spans="1:7" ht="216.75" customHeight="1" x14ac:dyDescent="0.2">
      <c r="A22" s="152">
        <v>2.1</v>
      </c>
      <c r="B22" s="147" t="s">
        <v>203</v>
      </c>
      <c r="C22" s="147">
        <v>48</v>
      </c>
      <c r="D22" s="237" t="s">
        <v>145</v>
      </c>
      <c r="E22" s="147" t="s">
        <v>147</v>
      </c>
      <c r="F22" s="238">
        <v>150000</v>
      </c>
      <c r="G22" s="223">
        <f t="shared" si="0"/>
        <v>7200000</v>
      </c>
    </row>
    <row r="23" spans="1:7" ht="68.25" customHeight="1" x14ac:dyDescent="0.2">
      <c r="A23" s="152">
        <v>2.1</v>
      </c>
      <c r="B23" s="147" t="s">
        <v>148</v>
      </c>
      <c r="C23" s="147">
        <v>8</v>
      </c>
      <c r="D23" s="147" t="s">
        <v>145</v>
      </c>
      <c r="E23" s="147" t="s">
        <v>66</v>
      </c>
      <c r="F23" s="239">
        <v>986000</v>
      </c>
      <c r="G23" s="207">
        <f t="shared" si="0"/>
        <v>7888000</v>
      </c>
    </row>
    <row r="24" spans="1:7" x14ac:dyDescent="0.2">
      <c r="A24" s="547">
        <v>2.1</v>
      </c>
      <c r="B24" s="550" t="s">
        <v>67</v>
      </c>
      <c r="C24" s="153">
        <v>8</v>
      </c>
      <c r="D24" s="154" t="s">
        <v>145</v>
      </c>
      <c r="E24" s="155" t="s">
        <v>68</v>
      </c>
      <c r="F24" s="227">
        <v>30000</v>
      </c>
      <c r="G24" s="209">
        <f t="shared" si="0"/>
        <v>240000</v>
      </c>
    </row>
    <row r="25" spans="1:7" x14ac:dyDescent="0.2">
      <c r="A25" s="548"/>
      <c r="B25" s="550"/>
      <c r="C25" s="153">
        <v>8</v>
      </c>
      <c r="D25" s="154" t="s">
        <v>145</v>
      </c>
      <c r="E25" s="155" t="s">
        <v>69</v>
      </c>
      <c r="F25" s="227">
        <v>25000</v>
      </c>
      <c r="G25" s="209">
        <f t="shared" si="0"/>
        <v>200000</v>
      </c>
    </row>
    <row r="26" spans="1:7" x14ac:dyDescent="0.2">
      <c r="A26" s="549"/>
      <c r="B26" s="550"/>
      <c r="C26" s="153">
        <v>8</v>
      </c>
      <c r="D26" s="154" t="s">
        <v>145</v>
      </c>
      <c r="E26" s="155" t="s">
        <v>70</v>
      </c>
      <c r="F26" s="227">
        <v>30000</v>
      </c>
      <c r="G26" s="209">
        <f t="shared" si="0"/>
        <v>240000</v>
      </c>
    </row>
    <row r="27" spans="1:7" x14ac:dyDescent="0.2">
      <c r="A27" s="152">
        <v>2.1</v>
      </c>
      <c r="B27" s="156" t="s">
        <v>71</v>
      </c>
      <c r="C27" s="154">
        <v>8</v>
      </c>
      <c r="D27" s="154" t="s">
        <v>145</v>
      </c>
      <c r="E27" s="156" t="s">
        <v>72</v>
      </c>
      <c r="F27" s="227">
        <v>950000</v>
      </c>
      <c r="G27" s="209">
        <f t="shared" si="0"/>
        <v>7600000</v>
      </c>
    </row>
    <row r="28" spans="1:7" ht="15.75" customHeight="1" x14ac:dyDescent="0.2">
      <c r="A28" s="152">
        <v>2.1</v>
      </c>
      <c r="B28" s="156" t="s">
        <v>71</v>
      </c>
      <c r="C28" s="154">
        <v>8</v>
      </c>
      <c r="D28" s="154" t="s">
        <v>145</v>
      </c>
      <c r="E28" s="156" t="s">
        <v>72</v>
      </c>
      <c r="F28" s="227">
        <v>950000</v>
      </c>
      <c r="G28" s="209">
        <f t="shared" si="0"/>
        <v>7600000</v>
      </c>
    </row>
    <row r="29" spans="1:7" x14ac:dyDescent="0.2">
      <c r="A29" s="152">
        <v>2.1</v>
      </c>
      <c r="B29" s="157" t="s">
        <v>73</v>
      </c>
      <c r="C29" s="151">
        <v>8</v>
      </c>
      <c r="D29" s="151" t="s">
        <v>75</v>
      </c>
      <c r="E29" s="162" t="s">
        <v>74</v>
      </c>
      <c r="F29" s="209">
        <v>105000</v>
      </c>
      <c r="G29" s="209">
        <f t="shared" si="0"/>
        <v>840000</v>
      </c>
    </row>
    <row r="30" spans="1:7" x14ac:dyDescent="0.2">
      <c r="A30" s="143"/>
      <c r="B30" s="142" t="s">
        <v>177</v>
      </c>
      <c r="C30" s="144"/>
      <c r="D30" s="142"/>
      <c r="E30" s="145"/>
      <c r="F30" s="145"/>
      <c r="G30" s="197"/>
    </row>
    <row r="31" spans="1:7" x14ac:dyDescent="0.2">
      <c r="A31" s="158">
        <v>1</v>
      </c>
      <c r="B31" s="156" t="s">
        <v>78</v>
      </c>
      <c r="C31" s="151">
        <v>1</v>
      </c>
      <c r="D31" s="159" t="s">
        <v>77</v>
      </c>
      <c r="E31" s="162"/>
      <c r="F31" s="240">
        <v>65650</v>
      </c>
      <c r="G31" s="209">
        <f t="shared" si="0"/>
        <v>65650</v>
      </c>
    </row>
    <row r="32" spans="1:7" x14ac:dyDescent="0.2">
      <c r="A32" s="158">
        <f t="shared" ref="A32:A67" si="1">+A31+1</f>
        <v>2</v>
      </c>
      <c r="B32" s="156" t="s">
        <v>79</v>
      </c>
      <c r="C32" s="160">
        <v>30000</v>
      </c>
      <c r="D32" s="159" t="s">
        <v>77</v>
      </c>
      <c r="E32" s="162"/>
      <c r="F32" s="227">
        <v>137</v>
      </c>
      <c r="G32" s="209">
        <f t="shared" si="0"/>
        <v>4110000</v>
      </c>
    </row>
    <row r="33" spans="1:7" x14ac:dyDescent="0.2">
      <c r="A33" s="158">
        <f t="shared" si="1"/>
        <v>3</v>
      </c>
      <c r="B33" s="156" t="s">
        <v>80</v>
      </c>
      <c r="C33" s="151">
        <v>1</v>
      </c>
      <c r="D33" s="159" t="s">
        <v>77</v>
      </c>
      <c r="E33" s="162"/>
      <c r="F33" s="240">
        <v>814000</v>
      </c>
      <c r="G33" s="209">
        <f t="shared" si="0"/>
        <v>814000</v>
      </c>
    </row>
    <row r="34" spans="1:7" x14ac:dyDescent="0.2">
      <c r="A34" s="158">
        <f t="shared" si="1"/>
        <v>4</v>
      </c>
      <c r="B34" s="156" t="s">
        <v>81</v>
      </c>
      <c r="C34" s="151">
        <v>2</v>
      </c>
      <c r="D34" s="159" t="s">
        <v>77</v>
      </c>
      <c r="E34" s="162"/>
      <c r="F34" s="240">
        <v>570500</v>
      </c>
      <c r="G34" s="209">
        <f t="shared" si="0"/>
        <v>1141000</v>
      </c>
    </row>
    <row r="35" spans="1:7" x14ac:dyDescent="0.2">
      <c r="A35" s="158">
        <f t="shared" si="1"/>
        <v>5</v>
      </c>
      <c r="B35" s="156" t="s">
        <v>82</v>
      </c>
      <c r="C35" s="151">
        <v>4</v>
      </c>
      <c r="D35" s="159" t="s">
        <v>77</v>
      </c>
      <c r="E35" s="162"/>
      <c r="F35" s="240">
        <v>360000</v>
      </c>
      <c r="G35" s="209">
        <f t="shared" si="0"/>
        <v>1440000</v>
      </c>
    </row>
    <row r="36" spans="1:7" x14ac:dyDescent="0.2">
      <c r="A36" s="158">
        <f t="shared" si="1"/>
        <v>6</v>
      </c>
      <c r="B36" s="156" t="s">
        <v>137</v>
      </c>
      <c r="C36" s="151">
        <v>4</v>
      </c>
      <c r="D36" s="159" t="s">
        <v>77</v>
      </c>
      <c r="E36" s="162"/>
      <c r="F36" s="240">
        <v>328900</v>
      </c>
      <c r="G36" s="209">
        <f t="shared" si="0"/>
        <v>1315600</v>
      </c>
    </row>
    <row r="37" spans="1:7" x14ac:dyDescent="0.2">
      <c r="A37" s="158">
        <f t="shared" si="1"/>
        <v>7</v>
      </c>
      <c r="B37" s="156" t="s">
        <v>138</v>
      </c>
      <c r="C37" s="160">
        <v>40000</v>
      </c>
      <c r="D37" s="159" t="s">
        <v>77</v>
      </c>
      <c r="E37" s="162"/>
      <c r="F37" s="227">
        <v>218</v>
      </c>
      <c r="G37" s="209">
        <f t="shared" si="0"/>
        <v>8720000</v>
      </c>
    </row>
    <row r="38" spans="1:7" x14ac:dyDescent="0.2">
      <c r="A38" s="158">
        <f t="shared" si="1"/>
        <v>8</v>
      </c>
      <c r="B38" s="156" t="s">
        <v>139</v>
      </c>
      <c r="C38" s="151">
        <v>2</v>
      </c>
      <c r="D38" s="159" t="s">
        <v>77</v>
      </c>
      <c r="E38" s="162"/>
      <c r="F38" s="240">
        <v>575900</v>
      </c>
      <c r="G38" s="209">
        <f t="shared" si="0"/>
        <v>1151800</v>
      </c>
    </row>
    <row r="39" spans="1:7" x14ac:dyDescent="0.2">
      <c r="A39" s="158">
        <f t="shared" si="1"/>
        <v>9</v>
      </c>
      <c r="B39" s="156" t="s">
        <v>140</v>
      </c>
      <c r="C39" s="160">
        <v>20000</v>
      </c>
      <c r="D39" s="159" t="s">
        <v>77</v>
      </c>
      <c r="E39" s="162"/>
      <c r="F39" s="227">
        <v>267</v>
      </c>
      <c r="G39" s="209">
        <f t="shared" si="0"/>
        <v>5340000</v>
      </c>
    </row>
    <row r="40" spans="1:7" x14ac:dyDescent="0.2">
      <c r="A40" s="158">
        <f t="shared" si="1"/>
        <v>10</v>
      </c>
      <c r="B40" s="156" t="s">
        <v>141</v>
      </c>
      <c r="C40" s="151">
        <v>2</v>
      </c>
      <c r="D40" s="159" t="s">
        <v>77</v>
      </c>
      <c r="E40" s="162"/>
      <c r="F40" s="240">
        <v>850000</v>
      </c>
      <c r="G40" s="209">
        <f t="shared" si="0"/>
        <v>1700000</v>
      </c>
    </row>
    <row r="41" spans="1:7" x14ac:dyDescent="0.2">
      <c r="A41" s="158">
        <f t="shared" si="1"/>
        <v>11</v>
      </c>
      <c r="B41" s="156" t="s">
        <v>142</v>
      </c>
      <c r="C41" s="160">
        <v>20000</v>
      </c>
      <c r="D41" s="159" t="s">
        <v>77</v>
      </c>
      <c r="E41" s="162"/>
      <c r="F41" s="227">
        <v>270</v>
      </c>
      <c r="G41" s="209">
        <f t="shared" si="0"/>
        <v>5400000</v>
      </c>
    </row>
    <row r="42" spans="1:7" x14ac:dyDescent="0.2">
      <c r="A42" s="158">
        <f t="shared" si="1"/>
        <v>12</v>
      </c>
      <c r="B42" s="156" t="s">
        <v>133</v>
      </c>
      <c r="C42" s="160">
        <v>5000</v>
      </c>
      <c r="D42" s="159" t="s">
        <v>77</v>
      </c>
      <c r="E42" s="162"/>
      <c r="F42" s="240">
        <v>1160</v>
      </c>
      <c r="G42" s="209">
        <f t="shared" si="0"/>
        <v>5800000</v>
      </c>
    </row>
    <row r="43" spans="1:7" x14ac:dyDescent="0.2">
      <c r="A43" s="158">
        <f t="shared" si="1"/>
        <v>13</v>
      </c>
      <c r="B43" s="156" t="s">
        <v>229</v>
      </c>
      <c r="C43" s="160">
        <v>5000</v>
      </c>
      <c r="D43" s="159" t="s">
        <v>77</v>
      </c>
      <c r="E43" s="162"/>
      <c r="F43" s="240">
        <v>147500</v>
      </c>
      <c r="G43" s="209">
        <f t="shared" si="0"/>
        <v>737500000</v>
      </c>
    </row>
    <row r="44" spans="1:7" x14ac:dyDescent="0.2">
      <c r="A44" s="158">
        <f t="shared" si="1"/>
        <v>14</v>
      </c>
      <c r="B44" s="156" t="s">
        <v>124</v>
      </c>
      <c r="C44" s="160">
        <v>1</v>
      </c>
      <c r="D44" s="159" t="s">
        <v>77</v>
      </c>
      <c r="E44" s="162"/>
      <c r="F44" s="240">
        <v>226900</v>
      </c>
      <c r="G44" s="209">
        <f t="shared" si="0"/>
        <v>226900</v>
      </c>
    </row>
    <row r="45" spans="1:7" x14ac:dyDescent="0.2">
      <c r="A45" s="158">
        <f t="shared" si="1"/>
        <v>15</v>
      </c>
      <c r="B45" s="161" t="s">
        <v>125</v>
      </c>
      <c r="C45" s="160">
        <v>5000</v>
      </c>
      <c r="D45" s="159" t="s">
        <v>77</v>
      </c>
      <c r="E45" s="162"/>
      <c r="F45" s="240">
        <v>12700</v>
      </c>
      <c r="G45" s="209">
        <f t="shared" si="0"/>
        <v>63500000</v>
      </c>
    </row>
    <row r="46" spans="1:7" x14ac:dyDescent="0.2">
      <c r="A46" s="158">
        <f t="shared" si="1"/>
        <v>16</v>
      </c>
      <c r="B46" s="161" t="s">
        <v>126</v>
      </c>
      <c r="C46" s="151">
        <v>1</v>
      </c>
      <c r="D46" s="159" t="s">
        <v>77</v>
      </c>
      <c r="E46" s="162"/>
      <c r="F46" s="240">
        <v>415090</v>
      </c>
      <c r="G46" s="209">
        <f t="shared" si="0"/>
        <v>415090</v>
      </c>
    </row>
    <row r="47" spans="1:7" x14ac:dyDescent="0.2">
      <c r="A47" s="158">
        <f t="shared" si="1"/>
        <v>17</v>
      </c>
      <c r="B47" s="161" t="s">
        <v>134</v>
      </c>
      <c r="C47" s="160">
        <v>5000</v>
      </c>
      <c r="D47" s="159" t="s">
        <v>77</v>
      </c>
      <c r="E47" s="162"/>
      <c r="F47" s="240">
        <v>11050</v>
      </c>
      <c r="G47" s="209">
        <f t="shared" si="0"/>
        <v>55250000</v>
      </c>
    </row>
    <row r="48" spans="1:7" x14ac:dyDescent="0.2">
      <c r="A48" s="158">
        <f t="shared" si="1"/>
        <v>18</v>
      </c>
      <c r="B48" s="156" t="s">
        <v>83</v>
      </c>
      <c r="C48" s="151">
        <v>5</v>
      </c>
      <c r="D48" s="159" t="s">
        <v>77</v>
      </c>
      <c r="E48" s="162"/>
      <c r="F48" s="240">
        <v>355000</v>
      </c>
      <c r="G48" s="209">
        <f t="shared" si="0"/>
        <v>1775000</v>
      </c>
    </row>
    <row r="49" spans="1:7" ht="25.5" x14ac:dyDescent="0.2">
      <c r="A49" s="158">
        <f t="shared" si="1"/>
        <v>19</v>
      </c>
      <c r="B49" s="156" t="s">
        <v>135</v>
      </c>
      <c r="C49" s="148">
        <v>40</v>
      </c>
      <c r="D49" s="159" t="s">
        <v>77</v>
      </c>
      <c r="E49" s="162" t="s">
        <v>156</v>
      </c>
      <c r="F49" s="240">
        <v>252000</v>
      </c>
      <c r="G49" s="209">
        <f t="shared" si="0"/>
        <v>10080000</v>
      </c>
    </row>
    <row r="50" spans="1:7" x14ac:dyDescent="0.2">
      <c r="A50" s="158">
        <f t="shared" si="1"/>
        <v>20</v>
      </c>
      <c r="B50" s="156" t="s">
        <v>84</v>
      </c>
      <c r="C50" s="151">
        <v>1</v>
      </c>
      <c r="D50" s="159" t="s">
        <v>77</v>
      </c>
      <c r="E50" s="162"/>
      <c r="F50" s="240">
        <v>161995</v>
      </c>
      <c r="G50" s="209">
        <f t="shared" si="0"/>
        <v>161995</v>
      </c>
    </row>
    <row r="51" spans="1:7" ht="25.5" x14ac:dyDescent="0.2">
      <c r="A51" s="158">
        <f t="shared" si="1"/>
        <v>21</v>
      </c>
      <c r="B51" s="156" t="s">
        <v>85</v>
      </c>
      <c r="C51" s="151">
        <v>2</v>
      </c>
      <c r="D51" s="159" t="s">
        <v>77</v>
      </c>
      <c r="E51" s="162" t="s">
        <v>156</v>
      </c>
      <c r="F51" s="240">
        <v>973000</v>
      </c>
      <c r="G51" s="209">
        <f t="shared" si="0"/>
        <v>1946000</v>
      </c>
    </row>
    <row r="52" spans="1:7" x14ac:dyDescent="0.2">
      <c r="A52" s="158">
        <f t="shared" si="1"/>
        <v>22</v>
      </c>
      <c r="B52" s="156" t="s">
        <v>86</v>
      </c>
      <c r="C52" s="151">
        <v>1</v>
      </c>
      <c r="D52" s="159" t="s">
        <v>77</v>
      </c>
      <c r="E52" s="162"/>
      <c r="F52" s="240">
        <v>511980</v>
      </c>
      <c r="G52" s="209">
        <f t="shared" si="0"/>
        <v>511980</v>
      </c>
    </row>
    <row r="53" spans="1:7" ht="38.25" x14ac:dyDescent="0.2">
      <c r="A53" s="158">
        <f t="shared" si="1"/>
        <v>23</v>
      </c>
      <c r="B53" s="156" t="s">
        <v>87</v>
      </c>
      <c r="C53" s="151">
        <v>1</v>
      </c>
      <c r="D53" s="159" t="s">
        <v>77</v>
      </c>
      <c r="E53" s="162" t="s">
        <v>157</v>
      </c>
      <c r="F53" s="240">
        <v>1540000</v>
      </c>
      <c r="G53" s="209">
        <f t="shared" si="0"/>
        <v>1540000</v>
      </c>
    </row>
    <row r="54" spans="1:7" x14ac:dyDescent="0.2">
      <c r="A54" s="158">
        <f t="shared" si="1"/>
        <v>24</v>
      </c>
      <c r="B54" s="156" t="s">
        <v>88</v>
      </c>
      <c r="C54" s="151">
        <v>1</v>
      </c>
      <c r="D54" s="159" t="s">
        <v>77</v>
      </c>
      <c r="E54" s="162"/>
      <c r="F54" s="240">
        <v>511980</v>
      </c>
      <c r="G54" s="209">
        <f t="shared" si="0"/>
        <v>511980</v>
      </c>
    </row>
    <row r="55" spans="1:7" ht="38.25" x14ac:dyDescent="0.2">
      <c r="A55" s="158">
        <f t="shared" si="1"/>
        <v>25</v>
      </c>
      <c r="B55" s="156" t="s">
        <v>89</v>
      </c>
      <c r="C55" s="151">
        <v>2</v>
      </c>
      <c r="D55" s="159" t="s">
        <v>77</v>
      </c>
      <c r="E55" s="162" t="s">
        <v>157</v>
      </c>
      <c r="F55" s="240">
        <v>1750000</v>
      </c>
      <c r="G55" s="209">
        <f t="shared" si="0"/>
        <v>3500000</v>
      </c>
    </row>
    <row r="56" spans="1:7" x14ac:dyDescent="0.2">
      <c r="A56" s="158">
        <f>+A55+1</f>
        <v>26</v>
      </c>
      <c r="B56" s="156" t="s">
        <v>90</v>
      </c>
      <c r="C56" s="151">
        <v>1</v>
      </c>
      <c r="D56" s="159" t="s">
        <v>77</v>
      </c>
      <c r="E56" s="162"/>
      <c r="F56" s="240">
        <v>675780</v>
      </c>
      <c r="G56" s="209">
        <f t="shared" si="0"/>
        <v>675780</v>
      </c>
    </row>
    <row r="57" spans="1:7" ht="38.25" x14ac:dyDescent="0.2">
      <c r="A57" s="158">
        <f t="shared" si="1"/>
        <v>27</v>
      </c>
      <c r="B57" s="156" t="s">
        <v>91</v>
      </c>
      <c r="C57" s="151">
        <v>2</v>
      </c>
      <c r="D57" s="159" t="s">
        <v>77</v>
      </c>
      <c r="E57" s="162" t="s">
        <v>157</v>
      </c>
      <c r="F57" s="240">
        <v>2380000</v>
      </c>
      <c r="G57" s="209">
        <f t="shared" si="0"/>
        <v>4760000</v>
      </c>
    </row>
    <row r="58" spans="1:7" x14ac:dyDescent="0.2">
      <c r="A58" s="158">
        <f t="shared" si="1"/>
        <v>28</v>
      </c>
      <c r="B58" s="156" t="s">
        <v>92</v>
      </c>
      <c r="C58" s="151">
        <v>1</v>
      </c>
      <c r="D58" s="159" t="s">
        <v>77</v>
      </c>
      <c r="E58" s="162"/>
      <c r="F58" s="240">
        <v>675780</v>
      </c>
      <c r="G58" s="209">
        <f t="shared" si="0"/>
        <v>675780</v>
      </c>
    </row>
    <row r="59" spans="1:7" ht="38.25" x14ac:dyDescent="0.2">
      <c r="A59" s="158">
        <f t="shared" si="1"/>
        <v>29</v>
      </c>
      <c r="B59" s="156" t="s">
        <v>93</v>
      </c>
      <c r="C59" s="151">
        <v>1</v>
      </c>
      <c r="D59" s="159" t="s">
        <v>77</v>
      </c>
      <c r="E59" s="162" t="s">
        <v>157</v>
      </c>
      <c r="F59" s="240">
        <v>4480000</v>
      </c>
      <c r="G59" s="209">
        <f t="shared" si="0"/>
        <v>4480000</v>
      </c>
    </row>
    <row r="60" spans="1:7" x14ac:dyDescent="0.2">
      <c r="A60" s="158">
        <f t="shared" si="1"/>
        <v>30</v>
      </c>
      <c r="B60" s="156" t="s">
        <v>94</v>
      </c>
      <c r="C60" s="151">
        <v>1</v>
      </c>
      <c r="D60" s="159" t="s">
        <v>77</v>
      </c>
      <c r="E60" s="162"/>
      <c r="F60" s="240">
        <v>675780</v>
      </c>
      <c r="G60" s="209">
        <f t="shared" si="0"/>
        <v>675780</v>
      </c>
    </row>
    <row r="61" spans="1:7" ht="38.25" x14ac:dyDescent="0.2">
      <c r="A61" s="158">
        <f t="shared" si="1"/>
        <v>31</v>
      </c>
      <c r="B61" s="156" t="s">
        <v>95</v>
      </c>
      <c r="C61" s="151">
        <v>1</v>
      </c>
      <c r="D61" s="159" t="s">
        <v>77</v>
      </c>
      <c r="E61" s="162" t="s">
        <v>157</v>
      </c>
      <c r="F61" s="240">
        <v>4760000</v>
      </c>
      <c r="G61" s="209">
        <f t="shared" si="0"/>
        <v>4760000</v>
      </c>
    </row>
    <row r="62" spans="1:7" hidden="1" x14ac:dyDescent="0.2">
      <c r="A62" s="158">
        <f t="shared" si="1"/>
        <v>32</v>
      </c>
      <c r="B62" s="156" t="s">
        <v>96</v>
      </c>
      <c r="C62" s="151">
        <v>1</v>
      </c>
      <c r="D62" s="159" t="s">
        <v>77</v>
      </c>
      <c r="E62" s="162"/>
      <c r="F62" s="227"/>
      <c r="G62" s="209">
        <f t="shared" si="0"/>
        <v>0</v>
      </c>
    </row>
    <row r="63" spans="1:7" hidden="1" x14ac:dyDescent="0.2">
      <c r="A63" s="158">
        <f t="shared" si="1"/>
        <v>33</v>
      </c>
      <c r="B63" s="156" t="s">
        <v>97</v>
      </c>
      <c r="C63" s="151">
        <v>1</v>
      </c>
      <c r="D63" s="159" t="s">
        <v>77</v>
      </c>
      <c r="E63" s="162"/>
      <c r="F63" s="227"/>
      <c r="G63" s="209">
        <f t="shared" si="0"/>
        <v>0</v>
      </c>
    </row>
    <row r="64" spans="1:7" hidden="1" x14ac:dyDescent="0.2">
      <c r="A64" s="158">
        <f t="shared" si="1"/>
        <v>34</v>
      </c>
      <c r="B64" s="156" t="s">
        <v>98</v>
      </c>
      <c r="C64" s="151">
        <v>1</v>
      </c>
      <c r="D64" s="159" t="s">
        <v>77</v>
      </c>
      <c r="E64" s="162"/>
      <c r="F64" s="227"/>
      <c r="G64" s="209">
        <f t="shared" si="0"/>
        <v>0</v>
      </c>
    </row>
    <row r="65" spans="1:9" hidden="1" x14ac:dyDescent="0.2">
      <c r="A65" s="158">
        <f t="shared" si="1"/>
        <v>35</v>
      </c>
      <c r="B65" s="156" t="s">
        <v>99</v>
      </c>
      <c r="C65" s="151">
        <v>1</v>
      </c>
      <c r="D65" s="159" t="s">
        <v>77</v>
      </c>
      <c r="E65" s="162"/>
      <c r="F65" s="227"/>
      <c r="G65" s="209">
        <f t="shared" si="0"/>
        <v>0</v>
      </c>
    </row>
    <row r="66" spans="1:9" hidden="1" x14ac:dyDescent="0.2">
      <c r="A66" s="158">
        <f t="shared" si="1"/>
        <v>36</v>
      </c>
      <c r="B66" s="156" t="s">
        <v>100</v>
      </c>
      <c r="C66" s="151">
        <v>1</v>
      </c>
      <c r="D66" s="154" t="s">
        <v>77</v>
      </c>
      <c r="E66" s="162"/>
      <c r="F66" s="227"/>
      <c r="G66" s="209">
        <f t="shared" si="0"/>
        <v>0</v>
      </c>
    </row>
    <row r="67" spans="1:9" x14ac:dyDescent="0.2">
      <c r="A67" s="158">
        <f t="shared" si="1"/>
        <v>37</v>
      </c>
      <c r="B67" s="156" t="s">
        <v>155</v>
      </c>
      <c r="C67" s="151">
        <v>5000</v>
      </c>
      <c r="D67" s="159"/>
      <c r="E67" s="162"/>
      <c r="F67" s="240">
        <v>4900</v>
      </c>
      <c r="G67" s="209">
        <f t="shared" si="0"/>
        <v>24500000</v>
      </c>
    </row>
    <row r="68" spans="1:9" ht="14.25" customHeight="1" x14ac:dyDescent="0.2">
      <c r="A68" s="143"/>
      <c r="B68" s="551">
        <v>1</v>
      </c>
      <c r="C68" s="552"/>
      <c r="D68" s="552"/>
      <c r="E68" s="552"/>
      <c r="F68" s="552"/>
      <c r="G68" s="553"/>
    </row>
    <row r="69" spans="1:9" x14ac:dyDescent="0.2">
      <c r="A69" s="158">
        <v>1</v>
      </c>
      <c r="B69" s="156" t="s">
        <v>163</v>
      </c>
      <c r="C69" s="207">
        <v>1</v>
      </c>
      <c r="D69" s="159" t="s">
        <v>77</v>
      </c>
      <c r="E69" s="162"/>
      <c r="F69" s="240">
        <v>476050</v>
      </c>
      <c r="G69" s="209">
        <f t="shared" si="0"/>
        <v>476050</v>
      </c>
    </row>
    <row r="70" spans="1:9" x14ac:dyDescent="0.2">
      <c r="A70" s="158">
        <v>2</v>
      </c>
      <c r="B70" s="156" t="s">
        <v>164</v>
      </c>
      <c r="C70" s="207">
        <v>58500</v>
      </c>
      <c r="D70" s="159"/>
      <c r="E70" s="162"/>
      <c r="F70" s="240">
        <v>605</v>
      </c>
      <c r="G70" s="209">
        <f t="shared" si="0"/>
        <v>35392500</v>
      </c>
    </row>
    <row r="71" spans="1:9" ht="25.5" x14ac:dyDescent="0.2">
      <c r="A71" s="158">
        <v>3</v>
      </c>
      <c r="B71" s="156" t="s">
        <v>165</v>
      </c>
      <c r="C71" s="187">
        <v>1</v>
      </c>
      <c r="D71" s="159" t="s">
        <v>77</v>
      </c>
      <c r="E71" s="162"/>
      <c r="F71" s="240">
        <v>185100</v>
      </c>
      <c r="G71" s="209">
        <f>+F71*C71</f>
        <v>185100</v>
      </c>
    </row>
    <row r="72" spans="1:9" ht="30.75" customHeight="1" x14ac:dyDescent="0.2">
      <c r="A72" s="158">
        <v>4</v>
      </c>
      <c r="B72" s="156" t="s">
        <v>166</v>
      </c>
      <c r="C72" s="207">
        <v>29250</v>
      </c>
      <c r="D72" s="159"/>
      <c r="E72" s="162"/>
      <c r="F72" s="240">
        <v>4384</v>
      </c>
      <c r="G72" s="209">
        <f>+F72*C72</f>
        <v>128232000</v>
      </c>
    </row>
    <row r="73" spans="1:9" ht="27.75" customHeight="1" x14ac:dyDescent="0.2">
      <c r="A73" s="158">
        <v>5</v>
      </c>
      <c r="B73" s="156" t="s">
        <v>167</v>
      </c>
      <c r="C73" s="187">
        <v>1</v>
      </c>
      <c r="D73" s="159" t="s">
        <v>77</v>
      </c>
      <c r="E73" s="162"/>
      <c r="F73" s="240">
        <v>760725</v>
      </c>
      <c r="G73" s="209">
        <f>+F73*C73</f>
        <v>760725</v>
      </c>
    </row>
    <row r="74" spans="1:9" ht="30" customHeight="1" x14ac:dyDescent="0.2">
      <c r="A74" s="158">
        <v>6</v>
      </c>
      <c r="B74" s="156" t="s">
        <v>168</v>
      </c>
      <c r="C74" s="207">
        <v>29250</v>
      </c>
      <c r="D74" s="159"/>
      <c r="E74" s="162"/>
      <c r="F74" s="227">
        <v>372</v>
      </c>
      <c r="G74" s="209">
        <f>+F74*C74</f>
        <v>10881000</v>
      </c>
    </row>
    <row r="75" spans="1:9" x14ac:dyDescent="0.2">
      <c r="A75" s="158">
        <v>7</v>
      </c>
      <c r="B75" s="156" t="s">
        <v>149</v>
      </c>
      <c r="C75" s="207">
        <v>29250</v>
      </c>
      <c r="D75" s="159" t="s">
        <v>77</v>
      </c>
      <c r="E75" s="162"/>
      <c r="F75" s="240">
        <v>31850</v>
      </c>
      <c r="G75" s="209">
        <f t="shared" si="0"/>
        <v>931612500</v>
      </c>
    </row>
    <row r="76" spans="1:9" ht="12.75" customHeight="1" x14ac:dyDescent="0.2">
      <c r="A76" s="158">
        <v>8</v>
      </c>
      <c r="B76" s="156" t="s">
        <v>150</v>
      </c>
      <c r="C76" s="207">
        <v>29250</v>
      </c>
      <c r="D76" s="159" t="s">
        <v>77</v>
      </c>
      <c r="E76" s="162"/>
      <c r="F76" s="241">
        <v>20000</v>
      </c>
      <c r="G76" s="242">
        <f t="shared" si="0"/>
        <v>585000000</v>
      </c>
      <c r="H76" s="243"/>
      <c r="I76" s="243"/>
    </row>
    <row r="77" spans="1:9" ht="58.5" customHeight="1" x14ac:dyDescent="0.2">
      <c r="A77" s="146">
        <v>9</v>
      </c>
      <c r="B77" s="156" t="s">
        <v>76</v>
      </c>
      <c r="C77" s="207">
        <v>29250</v>
      </c>
      <c r="D77" s="159" t="s">
        <v>77</v>
      </c>
      <c r="E77" s="162" t="s">
        <v>243</v>
      </c>
      <c r="F77" s="240">
        <v>4017</v>
      </c>
      <c r="G77" s="209">
        <f t="shared" ref="G77:G81" si="2">+F77*C77</f>
        <v>117497250</v>
      </c>
    </row>
    <row r="78" spans="1:9" ht="14.25" customHeight="1" x14ac:dyDescent="0.2">
      <c r="A78" s="143"/>
      <c r="B78" s="142" t="s">
        <v>179</v>
      </c>
      <c r="C78" s="144"/>
      <c r="D78" s="142"/>
      <c r="E78" s="145"/>
      <c r="F78" s="145"/>
      <c r="G78" s="197"/>
    </row>
    <row r="79" spans="1:9" x14ac:dyDescent="0.2">
      <c r="A79" s="158" t="s">
        <v>180</v>
      </c>
      <c r="B79" s="156" t="s">
        <v>143</v>
      </c>
      <c r="C79" s="151">
        <v>1</v>
      </c>
      <c r="D79" s="159" t="s">
        <v>106</v>
      </c>
      <c r="E79" s="162" t="s">
        <v>130</v>
      </c>
      <c r="F79" s="244">
        <v>21890000</v>
      </c>
      <c r="G79" s="207">
        <f t="shared" si="2"/>
        <v>21890000</v>
      </c>
    </row>
    <row r="80" spans="1:9" x14ac:dyDescent="0.2">
      <c r="A80" s="158" t="s">
        <v>181</v>
      </c>
      <c r="B80" s="156" t="s">
        <v>118</v>
      </c>
      <c r="C80" s="151">
        <v>1</v>
      </c>
      <c r="D80" s="159" t="s">
        <v>119</v>
      </c>
      <c r="E80" s="163" t="s">
        <v>109</v>
      </c>
      <c r="F80" s="239">
        <v>49000000</v>
      </c>
      <c r="G80" s="207">
        <f t="shared" si="2"/>
        <v>49000000</v>
      </c>
    </row>
    <row r="81" spans="1:8" ht="42" customHeight="1" x14ac:dyDescent="0.2">
      <c r="A81" s="158" t="s">
        <v>182</v>
      </c>
      <c r="B81" s="156" t="s">
        <v>120</v>
      </c>
      <c r="C81" s="160">
        <v>4000</v>
      </c>
      <c r="D81" s="159" t="s">
        <v>108</v>
      </c>
      <c r="E81" s="164" t="s">
        <v>158</v>
      </c>
      <c r="F81" s="239">
        <v>3000</v>
      </c>
      <c r="G81" s="207">
        <f t="shared" si="2"/>
        <v>12000000</v>
      </c>
    </row>
    <row r="82" spans="1:8" ht="25.5" hidden="1" x14ac:dyDescent="0.2">
      <c r="A82" s="143"/>
      <c r="B82" s="165" t="s">
        <v>121</v>
      </c>
      <c r="C82" s="144"/>
      <c r="D82" s="142"/>
      <c r="E82" s="145"/>
      <c r="F82" s="145"/>
      <c r="G82" s="197"/>
    </row>
    <row r="83" spans="1:8" hidden="1" x14ac:dyDescent="0.2">
      <c r="A83" s="158"/>
      <c r="B83" s="156" t="s">
        <v>122</v>
      </c>
      <c r="C83" s="151"/>
      <c r="D83" s="159"/>
      <c r="E83" s="162"/>
      <c r="F83" s="227"/>
      <c r="G83" s="209"/>
    </row>
    <row r="84" spans="1:8" x14ac:dyDescent="0.2">
      <c r="A84" s="143"/>
      <c r="B84" s="165" t="s">
        <v>183</v>
      </c>
      <c r="C84" s="144"/>
      <c r="D84" s="142"/>
      <c r="E84" s="145"/>
      <c r="F84" s="145"/>
      <c r="G84" s="197"/>
    </row>
    <row r="85" spans="1:8" ht="38.25" x14ac:dyDescent="0.2">
      <c r="A85" s="146" t="s">
        <v>184</v>
      </c>
      <c r="B85" s="147" t="s">
        <v>162</v>
      </c>
      <c r="C85" s="148">
        <v>1</v>
      </c>
      <c r="D85" s="166" t="s">
        <v>77</v>
      </c>
      <c r="E85" s="163" t="s">
        <v>169</v>
      </c>
      <c r="F85" s="240">
        <v>95500000</v>
      </c>
      <c r="G85" s="209">
        <f t="shared" ref="G85:G87" si="3">+F85*C85</f>
        <v>95500000</v>
      </c>
    </row>
    <row r="86" spans="1:8" x14ac:dyDescent="0.2">
      <c r="A86" s="167"/>
      <c r="B86" s="168" t="s">
        <v>185</v>
      </c>
      <c r="C86" s="169"/>
      <c r="D86" s="168"/>
      <c r="E86" s="170"/>
      <c r="F86" s="170"/>
      <c r="G86" s="205"/>
    </row>
    <row r="87" spans="1:8" ht="169.5" customHeight="1" x14ac:dyDescent="0.2">
      <c r="A87" s="146">
        <v>2.6</v>
      </c>
      <c r="B87" s="156" t="s">
        <v>103</v>
      </c>
      <c r="C87" s="151">
        <v>10</v>
      </c>
      <c r="D87" s="154" t="s">
        <v>105</v>
      </c>
      <c r="E87" s="149" t="s">
        <v>104</v>
      </c>
      <c r="F87" s="234">
        <v>8690000</v>
      </c>
      <c r="G87" s="223">
        <f t="shared" si="3"/>
        <v>86900000</v>
      </c>
      <c r="H87" s="171"/>
    </row>
    <row r="88" spans="1:8" x14ac:dyDescent="0.2">
      <c r="A88" s="245"/>
      <c r="B88" s="246"/>
      <c r="C88" s="247"/>
      <c r="D88" s="247"/>
      <c r="E88" s="248"/>
      <c r="F88" s="249"/>
      <c r="G88" s="250"/>
    </row>
    <row r="89" spans="1:8" x14ac:dyDescent="0.2">
      <c r="A89" s="245"/>
      <c r="B89" s="246"/>
      <c r="C89" s="247"/>
      <c r="D89" s="247"/>
      <c r="E89" s="248"/>
      <c r="F89" s="249"/>
      <c r="G89" s="250"/>
    </row>
    <row r="90" spans="1:8" x14ac:dyDescent="0.2">
      <c r="A90" s="245"/>
      <c r="B90" s="246"/>
      <c r="C90" s="247"/>
      <c r="D90" s="247"/>
      <c r="E90" s="248"/>
      <c r="F90" s="249"/>
      <c r="G90" s="250"/>
    </row>
    <row r="91" spans="1:8" x14ac:dyDescent="0.2">
      <c r="A91" s="245"/>
      <c r="B91" s="246"/>
      <c r="C91" s="247"/>
      <c r="D91" s="247"/>
      <c r="E91" s="248"/>
      <c r="F91" s="249"/>
      <c r="G91" s="250"/>
    </row>
    <row r="92" spans="1:8" x14ac:dyDescent="0.2">
      <c r="A92" s="245"/>
      <c r="B92" s="246"/>
      <c r="C92" s="247"/>
      <c r="D92" s="247"/>
      <c r="E92" s="248"/>
      <c r="F92" s="249"/>
      <c r="G92" s="250"/>
    </row>
    <row r="93" spans="1:8" x14ac:dyDescent="0.2">
      <c r="A93" s="245"/>
      <c r="B93" s="246"/>
      <c r="C93" s="247"/>
      <c r="D93" s="247"/>
      <c r="E93" s="248"/>
      <c r="F93" s="249"/>
      <c r="G93" s="250"/>
    </row>
    <row r="94" spans="1:8" x14ac:dyDescent="0.2">
      <c r="A94" s="245"/>
      <c r="B94" s="246"/>
      <c r="C94" s="247"/>
      <c r="D94" s="247"/>
      <c r="E94" s="248"/>
      <c r="F94" s="249"/>
      <c r="G94" s="250"/>
    </row>
    <row r="95" spans="1:8" x14ac:dyDescent="0.2">
      <c r="A95" s="245"/>
      <c r="B95" s="246"/>
      <c r="C95" s="247"/>
      <c r="D95" s="247"/>
      <c r="E95" s="248"/>
      <c r="F95" s="249"/>
      <c r="G95" s="250"/>
    </row>
    <row r="96" spans="1:8" x14ac:dyDescent="0.2">
      <c r="A96" s="245"/>
      <c r="B96" s="246"/>
      <c r="C96" s="247"/>
      <c r="D96" s="247"/>
      <c r="E96" s="248"/>
      <c r="F96" s="249"/>
      <c r="G96" s="250"/>
    </row>
    <row r="97" spans="1:7" x14ac:dyDescent="0.2">
      <c r="A97" s="245"/>
      <c r="B97" s="246"/>
      <c r="C97" s="247"/>
      <c r="D97" s="247"/>
      <c r="E97" s="248"/>
      <c r="F97" s="249"/>
      <c r="G97" s="250"/>
    </row>
    <row r="98" spans="1:7" x14ac:dyDescent="0.2">
      <c r="A98" s="245"/>
      <c r="B98" s="246"/>
      <c r="C98" s="247"/>
      <c r="D98" s="247"/>
      <c r="E98" s="248"/>
      <c r="F98" s="249"/>
      <c r="G98" s="250"/>
    </row>
    <row r="99" spans="1:7" x14ac:dyDescent="0.2">
      <c r="A99" s="245"/>
      <c r="B99" s="246"/>
      <c r="C99" s="247"/>
      <c r="D99" s="247"/>
      <c r="E99" s="248"/>
      <c r="F99" s="249"/>
      <c r="G99" s="250"/>
    </row>
    <row r="101" spans="1:7" ht="15" customHeight="1" x14ac:dyDescent="0.2">
      <c r="B101" s="557" t="s">
        <v>239</v>
      </c>
      <c r="C101" s="557"/>
      <c r="D101" s="557"/>
      <c r="E101" s="557"/>
      <c r="F101" s="557"/>
      <c r="G101" s="557"/>
    </row>
    <row r="102" spans="1:7" ht="15" customHeight="1" x14ac:dyDescent="0.2">
      <c r="B102" s="557" t="s">
        <v>240</v>
      </c>
      <c r="C102" s="557"/>
      <c r="D102" s="557"/>
      <c r="E102" s="557"/>
      <c r="F102" s="557"/>
      <c r="G102" s="557"/>
    </row>
  </sheetData>
  <mergeCells count="7">
    <mergeCell ref="B102:G102"/>
    <mergeCell ref="A8:G8"/>
    <mergeCell ref="A9:B9"/>
    <mergeCell ref="A24:A26"/>
    <mergeCell ref="B24:B26"/>
    <mergeCell ref="B68:G68"/>
    <mergeCell ref="B101:G101"/>
  </mergeCells>
  <printOptions horizontalCentered="1" verticalCentered="1"/>
  <pageMargins left="0.31496062992125984" right="0.11811023622047245" top="0.35433070866141736" bottom="0.15748031496062992" header="0.31496062992125984" footer="0.31496062992125984"/>
  <pageSetup scale="50" orientation="landscape" r:id="rId1"/>
  <rowBreaks count="2" manualBreakCount="2">
    <brk id="43" max="6" man="1"/>
    <brk id="83" max="6" man="1"/>
  </row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2"/>
  <sheetViews>
    <sheetView topLeftCell="C64" workbookViewId="0">
      <selection activeCell="B66" sqref="B66"/>
    </sheetView>
  </sheetViews>
  <sheetFormatPr baseColWidth="10" defaultColWidth="10.85546875" defaultRowHeight="12.75" x14ac:dyDescent="0.2"/>
  <cols>
    <col min="1" max="1" width="7.42578125" style="172" bestFit="1" customWidth="1"/>
    <col min="2" max="2" width="83" style="173" customWidth="1"/>
    <col min="3" max="3" width="14.140625" style="174" customWidth="1"/>
    <col min="4" max="4" width="16.140625" style="174" customWidth="1"/>
    <col min="5" max="5" width="65.28515625" style="175" customWidth="1"/>
    <col min="6" max="6" width="10.85546875" style="137"/>
    <col min="7" max="7" width="14.140625" style="188" customWidth="1"/>
    <col min="8" max="16384" width="10.85546875" style="137"/>
  </cols>
  <sheetData>
    <row r="1" spans="1:7" x14ac:dyDescent="0.2">
      <c r="B1" s="176" t="s">
        <v>195</v>
      </c>
      <c r="C1" s="174" t="s">
        <v>260</v>
      </c>
    </row>
    <row r="2" spans="1:7" x14ac:dyDescent="0.2">
      <c r="B2" s="176" t="s">
        <v>196</v>
      </c>
      <c r="C2" s="174" t="s">
        <v>261</v>
      </c>
    </row>
    <row r="3" spans="1:7" x14ac:dyDescent="0.2">
      <c r="B3" s="176" t="s">
        <v>197</v>
      </c>
      <c r="C3" s="174" t="s">
        <v>262</v>
      </c>
    </row>
    <row r="4" spans="1:7" x14ac:dyDescent="0.2">
      <c r="B4" s="177" t="s">
        <v>161</v>
      </c>
      <c r="C4" s="174" t="s">
        <v>263</v>
      </c>
    </row>
    <row r="5" spans="1:7" ht="15" x14ac:dyDescent="0.25">
      <c r="B5" s="176" t="s">
        <v>160</v>
      </c>
      <c r="C5" s="295" t="s">
        <v>264</v>
      </c>
    </row>
    <row r="6" spans="1:7" x14ac:dyDescent="0.2">
      <c r="B6" s="176" t="s">
        <v>198</v>
      </c>
      <c r="C6" s="174" t="s">
        <v>265</v>
      </c>
    </row>
    <row r="8" spans="1:7" ht="15" customHeight="1" x14ac:dyDescent="0.2">
      <c r="A8" s="544" t="s">
        <v>102</v>
      </c>
      <c r="B8" s="544"/>
      <c r="C8" s="544"/>
      <c r="D8" s="544"/>
      <c r="E8" s="544"/>
      <c r="F8" s="544"/>
      <c r="G8" s="544"/>
    </row>
    <row r="9" spans="1:7" ht="51" x14ac:dyDescent="0.2">
      <c r="A9" s="545" t="s">
        <v>62</v>
      </c>
      <c r="B9" s="546"/>
      <c r="C9" s="138" t="s">
        <v>63</v>
      </c>
      <c r="D9" s="139" t="s">
        <v>64</v>
      </c>
      <c r="E9" s="293" t="s">
        <v>65</v>
      </c>
      <c r="F9" s="191" t="s">
        <v>101</v>
      </c>
      <c r="G9" s="192" t="s">
        <v>61</v>
      </c>
    </row>
    <row r="10" spans="1:7" x14ac:dyDescent="0.2">
      <c r="A10" s="141"/>
      <c r="B10" s="142" t="s">
        <v>117</v>
      </c>
      <c r="C10" s="138"/>
      <c r="D10" s="139"/>
      <c r="E10" s="293"/>
      <c r="F10" s="191"/>
      <c r="G10" s="192"/>
    </row>
    <row r="11" spans="1:7" x14ac:dyDescent="0.2">
      <c r="A11" s="143" t="s">
        <v>129</v>
      </c>
      <c r="B11" s="142" t="s">
        <v>170</v>
      </c>
      <c r="C11" s="144"/>
      <c r="D11" s="142"/>
      <c r="E11" s="145"/>
      <c r="F11" s="145"/>
      <c r="G11" s="197"/>
    </row>
    <row r="12" spans="1:7" ht="91.5" customHeight="1" x14ac:dyDescent="0.2">
      <c r="A12" s="146" t="s">
        <v>171</v>
      </c>
      <c r="B12" s="147" t="s">
        <v>127</v>
      </c>
      <c r="C12" s="148">
        <v>3</v>
      </c>
      <c r="D12" s="148" t="s">
        <v>111</v>
      </c>
      <c r="E12" s="149" t="s">
        <v>131</v>
      </c>
      <c r="F12" s="296">
        <v>12000000</v>
      </c>
      <c r="G12" s="209">
        <f>+F12*C12</f>
        <v>36000000</v>
      </c>
    </row>
    <row r="13" spans="1:7" ht="99" customHeight="1" x14ac:dyDescent="0.2">
      <c r="A13" s="150" t="s">
        <v>171</v>
      </c>
      <c r="B13" s="147" t="s">
        <v>128</v>
      </c>
      <c r="C13" s="148">
        <v>2</v>
      </c>
      <c r="D13" s="148" t="s">
        <v>111</v>
      </c>
      <c r="E13" s="149" t="s">
        <v>132</v>
      </c>
      <c r="F13" s="296">
        <v>12000000</v>
      </c>
      <c r="G13" s="209">
        <f t="shared" ref="G13:G71" si="0">+F13*C13</f>
        <v>24000000</v>
      </c>
    </row>
    <row r="14" spans="1:7" ht="162" customHeight="1" x14ac:dyDescent="0.2">
      <c r="A14" s="150" t="s">
        <v>171</v>
      </c>
      <c r="B14" s="147" t="s">
        <v>186</v>
      </c>
      <c r="C14" s="148">
        <v>5</v>
      </c>
      <c r="D14" s="148" t="s">
        <v>110</v>
      </c>
      <c r="E14" s="149" t="s">
        <v>136</v>
      </c>
      <c r="F14" s="296">
        <v>9000000</v>
      </c>
      <c r="G14" s="209">
        <f t="shared" si="0"/>
        <v>45000000</v>
      </c>
    </row>
    <row r="15" spans="1:7" ht="162.75" customHeight="1" x14ac:dyDescent="0.2">
      <c r="A15" s="146" t="s">
        <v>171</v>
      </c>
      <c r="B15" s="147" t="s">
        <v>187</v>
      </c>
      <c r="C15" s="148">
        <v>5</v>
      </c>
      <c r="D15" s="148" t="s">
        <v>110</v>
      </c>
      <c r="E15" s="149" t="s">
        <v>112</v>
      </c>
      <c r="F15" s="296">
        <v>7000000</v>
      </c>
      <c r="G15" s="209">
        <f t="shared" si="0"/>
        <v>35000000</v>
      </c>
    </row>
    <row r="16" spans="1:7" ht="25.5" x14ac:dyDescent="0.2">
      <c r="A16" s="146" t="s">
        <v>172</v>
      </c>
      <c r="B16" s="147" t="s">
        <v>113</v>
      </c>
      <c r="C16" s="148">
        <v>6</v>
      </c>
      <c r="D16" s="148" t="s">
        <v>114</v>
      </c>
      <c r="E16" s="149" t="s">
        <v>115</v>
      </c>
      <c r="F16" s="296">
        <v>20000000</v>
      </c>
      <c r="G16" s="209">
        <f t="shared" si="0"/>
        <v>120000000</v>
      </c>
    </row>
    <row r="17" spans="1:7" ht="43.5" customHeight="1" x14ac:dyDescent="0.2">
      <c r="A17" s="146" t="s">
        <v>173</v>
      </c>
      <c r="B17" s="147" t="s">
        <v>107</v>
      </c>
      <c r="C17" s="151">
        <v>16</v>
      </c>
      <c r="D17" s="148" t="s">
        <v>123</v>
      </c>
      <c r="E17" s="149" t="s">
        <v>116</v>
      </c>
      <c r="F17" s="296">
        <v>15000000</v>
      </c>
      <c r="G17" s="209">
        <f t="shared" si="0"/>
        <v>240000000</v>
      </c>
    </row>
    <row r="18" spans="1:7" ht="285.75" customHeight="1" x14ac:dyDescent="0.2">
      <c r="A18" s="152" t="s">
        <v>174</v>
      </c>
      <c r="B18" s="147" t="s">
        <v>151</v>
      </c>
      <c r="C18" s="148">
        <v>2</v>
      </c>
      <c r="D18" s="148" t="s">
        <v>145</v>
      </c>
      <c r="E18" s="149" t="s">
        <v>152</v>
      </c>
      <c r="F18" s="296">
        <v>5000000</v>
      </c>
      <c r="G18" s="209">
        <f t="shared" si="0"/>
        <v>10000000</v>
      </c>
    </row>
    <row r="19" spans="1:7" ht="270" customHeight="1" thickBot="1" x14ac:dyDescent="0.25">
      <c r="A19" s="152">
        <v>2.4</v>
      </c>
      <c r="B19" s="147" t="s">
        <v>153</v>
      </c>
      <c r="C19" s="148">
        <v>2</v>
      </c>
      <c r="D19" s="148" t="s">
        <v>145</v>
      </c>
      <c r="E19" s="149" t="s">
        <v>154</v>
      </c>
      <c r="F19" s="297">
        <v>5000000</v>
      </c>
      <c r="G19" s="209">
        <f t="shared" si="0"/>
        <v>10000000</v>
      </c>
    </row>
    <row r="20" spans="1:7" ht="55.5" customHeight="1" x14ac:dyDescent="0.2">
      <c r="A20" s="152">
        <v>2</v>
      </c>
      <c r="B20" s="147" t="s">
        <v>144</v>
      </c>
      <c r="C20" s="147">
        <v>10</v>
      </c>
      <c r="D20" s="147" t="s">
        <v>145</v>
      </c>
      <c r="E20" s="147" t="s">
        <v>146</v>
      </c>
      <c r="F20" s="298">
        <v>150000</v>
      </c>
      <c r="G20" s="209">
        <f t="shared" si="0"/>
        <v>1500000</v>
      </c>
    </row>
    <row r="21" spans="1:7" ht="216.75" customHeight="1" x14ac:dyDescent="0.2">
      <c r="A21" s="152">
        <v>2.1</v>
      </c>
      <c r="B21" s="147" t="s">
        <v>203</v>
      </c>
      <c r="C21" s="147">
        <v>48</v>
      </c>
      <c r="D21" s="147" t="s">
        <v>145</v>
      </c>
      <c r="E21" s="147" t="s">
        <v>147</v>
      </c>
      <c r="F21" s="299">
        <v>600000</v>
      </c>
      <c r="G21" s="209">
        <f t="shared" si="0"/>
        <v>28800000</v>
      </c>
    </row>
    <row r="22" spans="1:7" ht="68.25" customHeight="1" x14ac:dyDescent="0.2">
      <c r="A22" s="152">
        <v>2.1</v>
      </c>
      <c r="B22" s="147" t="s">
        <v>148</v>
      </c>
      <c r="C22" s="147">
        <v>8</v>
      </c>
      <c r="D22" s="147" t="s">
        <v>145</v>
      </c>
      <c r="E22" s="147" t="s">
        <v>66</v>
      </c>
      <c r="F22" s="296">
        <v>300000</v>
      </c>
      <c r="G22" s="209">
        <f t="shared" si="0"/>
        <v>2400000</v>
      </c>
    </row>
    <row r="23" spans="1:7" x14ac:dyDescent="0.2">
      <c r="A23" s="547">
        <v>2.1</v>
      </c>
      <c r="B23" s="550" t="s">
        <v>67</v>
      </c>
      <c r="C23" s="153">
        <v>8</v>
      </c>
      <c r="D23" s="154" t="s">
        <v>145</v>
      </c>
      <c r="E23" s="155" t="s">
        <v>68</v>
      </c>
      <c r="F23" s="296">
        <v>50000</v>
      </c>
      <c r="G23" s="209">
        <f t="shared" si="0"/>
        <v>400000</v>
      </c>
    </row>
    <row r="24" spans="1:7" x14ac:dyDescent="0.2">
      <c r="A24" s="548"/>
      <c r="B24" s="550"/>
      <c r="C24" s="153">
        <v>8</v>
      </c>
      <c r="D24" s="154" t="s">
        <v>145</v>
      </c>
      <c r="E24" s="155" t="s">
        <v>69</v>
      </c>
      <c r="F24" s="296">
        <v>30000</v>
      </c>
      <c r="G24" s="209">
        <f t="shared" si="0"/>
        <v>240000</v>
      </c>
    </row>
    <row r="25" spans="1:7" x14ac:dyDescent="0.2">
      <c r="A25" s="549"/>
      <c r="B25" s="550"/>
      <c r="C25" s="153">
        <v>8</v>
      </c>
      <c r="D25" s="154" t="s">
        <v>145</v>
      </c>
      <c r="E25" s="155" t="s">
        <v>70</v>
      </c>
      <c r="F25" s="296">
        <v>30000</v>
      </c>
      <c r="G25" s="209">
        <f t="shared" si="0"/>
        <v>240000</v>
      </c>
    </row>
    <row r="26" spans="1:7" x14ac:dyDescent="0.2">
      <c r="A26" s="152">
        <v>2.1</v>
      </c>
      <c r="B26" s="156" t="s">
        <v>71</v>
      </c>
      <c r="C26" s="154">
        <v>8</v>
      </c>
      <c r="D26" s="154" t="s">
        <v>145</v>
      </c>
      <c r="E26" s="156" t="s">
        <v>72</v>
      </c>
      <c r="F26" s="296">
        <v>460000</v>
      </c>
      <c r="G26" s="209">
        <f t="shared" si="0"/>
        <v>3680000</v>
      </c>
    </row>
    <row r="27" spans="1:7" ht="15.75" customHeight="1" x14ac:dyDescent="0.2">
      <c r="A27" s="152">
        <v>2.1</v>
      </c>
      <c r="B27" s="156" t="s">
        <v>71</v>
      </c>
      <c r="C27" s="154">
        <v>8</v>
      </c>
      <c r="D27" s="154" t="s">
        <v>145</v>
      </c>
      <c r="E27" s="156" t="s">
        <v>72</v>
      </c>
      <c r="F27" s="296">
        <v>460000</v>
      </c>
      <c r="G27" s="209">
        <f t="shared" si="0"/>
        <v>3680000</v>
      </c>
    </row>
    <row r="28" spans="1:7" x14ac:dyDescent="0.2">
      <c r="A28" s="152">
        <v>2.1</v>
      </c>
      <c r="B28" s="157" t="s">
        <v>73</v>
      </c>
      <c r="C28" s="151">
        <v>8</v>
      </c>
      <c r="D28" s="151" t="s">
        <v>75</v>
      </c>
      <c r="E28" s="162" t="s">
        <v>74</v>
      </c>
      <c r="F28" s="296">
        <v>40000</v>
      </c>
      <c r="G28" s="209">
        <f t="shared" si="0"/>
        <v>320000</v>
      </c>
    </row>
    <row r="29" spans="1:7" x14ac:dyDescent="0.2">
      <c r="A29" s="143"/>
      <c r="B29" s="142" t="s">
        <v>177</v>
      </c>
      <c r="C29" s="144"/>
      <c r="D29" s="142"/>
      <c r="E29" s="145"/>
      <c r="F29" s="145"/>
      <c r="G29" s="197"/>
    </row>
    <row r="30" spans="1:7" x14ac:dyDescent="0.2">
      <c r="A30" s="158">
        <v>1</v>
      </c>
      <c r="B30" s="156" t="s">
        <v>78</v>
      </c>
      <c r="C30" s="151">
        <v>1</v>
      </c>
      <c r="D30" s="159" t="s">
        <v>77</v>
      </c>
      <c r="E30" s="162"/>
      <c r="F30" s="296">
        <v>500000</v>
      </c>
      <c r="G30" s="209">
        <f t="shared" si="0"/>
        <v>500000</v>
      </c>
    </row>
    <row r="31" spans="1:7" x14ac:dyDescent="0.2">
      <c r="A31" s="158">
        <f t="shared" ref="A31:A66" si="1">+A30+1</f>
        <v>2</v>
      </c>
      <c r="B31" s="156" t="s">
        <v>79</v>
      </c>
      <c r="C31" s="160">
        <v>30000</v>
      </c>
      <c r="D31" s="159" t="s">
        <v>77</v>
      </c>
      <c r="E31" s="162"/>
      <c r="F31" s="296">
        <v>300</v>
      </c>
      <c r="G31" s="209">
        <f t="shared" si="0"/>
        <v>9000000</v>
      </c>
    </row>
    <row r="32" spans="1:7" x14ac:dyDescent="0.2">
      <c r="A32" s="158">
        <f t="shared" si="1"/>
        <v>3</v>
      </c>
      <c r="B32" s="156" t="s">
        <v>80</v>
      </c>
      <c r="C32" s="151">
        <v>1</v>
      </c>
      <c r="D32" s="159" t="s">
        <v>77</v>
      </c>
      <c r="E32" s="162"/>
      <c r="F32" s="296">
        <v>2000000</v>
      </c>
      <c r="G32" s="209">
        <f t="shared" si="0"/>
        <v>2000000</v>
      </c>
    </row>
    <row r="33" spans="1:7" x14ac:dyDescent="0.2">
      <c r="A33" s="158">
        <f t="shared" si="1"/>
        <v>4</v>
      </c>
      <c r="B33" s="156" t="s">
        <v>81</v>
      </c>
      <c r="C33" s="151">
        <v>2</v>
      </c>
      <c r="D33" s="159" t="s">
        <v>77</v>
      </c>
      <c r="E33" s="162"/>
      <c r="F33" s="296">
        <v>2000000</v>
      </c>
      <c r="G33" s="209">
        <f t="shared" si="0"/>
        <v>4000000</v>
      </c>
    </row>
    <row r="34" spans="1:7" x14ac:dyDescent="0.2">
      <c r="A34" s="158">
        <f t="shared" si="1"/>
        <v>5</v>
      </c>
      <c r="B34" s="156" t="s">
        <v>82</v>
      </c>
      <c r="C34" s="151">
        <v>4</v>
      </c>
      <c r="D34" s="159" t="s">
        <v>77</v>
      </c>
      <c r="E34" s="162"/>
      <c r="F34" s="296">
        <v>2000000</v>
      </c>
      <c r="G34" s="209">
        <f t="shared" si="0"/>
        <v>8000000</v>
      </c>
    </row>
    <row r="35" spans="1:7" x14ac:dyDescent="0.2">
      <c r="A35" s="158">
        <f t="shared" si="1"/>
        <v>6</v>
      </c>
      <c r="B35" s="156" t="s">
        <v>137</v>
      </c>
      <c r="C35" s="151">
        <v>4</v>
      </c>
      <c r="D35" s="159" t="s">
        <v>77</v>
      </c>
      <c r="E35" s="162"/>
      <c r="F35" s="296">
        <v>2000000</v>
      </c>
      <c r="G35" s="209">
        <f t="shared" si="0"/>
        <v>8000000</v>
      </c>
    </row>
    <row r="36" spans="1:7" x14ac:dyDescent="0.2">
      <c r="A36" s="158">
        <f t="shared" si="1"/>
        <v>7</v>
      </c>
      <c r="B36" s="156" t="s">
        <v>138</v>
      </c>
      <c r="C36" s="160">
        <v>40000</v>
      </c>
      <c r="D36" s="159" t="s">
        <v>77</v>
      </c>
      <c r="E36" s="162"/>
      <c r="F36" s="296">
        <v>300</v>
      </c>
      <c r="G36" s="209">
        <f t="shared" si="0"/>
        <v>12000000</v>
      </c>
    </row>
    <row r="37" spans="1:7" x14ac:dyDescent="0.2">
      <c r="A37" s="158">
        <f t="shared" si="1"/>
        <v>8</v>
      </c>
      <c r="B37" s="156" t="s">
        <v>139</v>
      </c>
      <c r="C37" s="151">
        <v>2</v>
      </c>
      <c r="D37" s="159" t="s">
        <v>77</v>
      </c>
      <c r="E37" s="162"/>
      <c r="F37" s="296">
        <v>2000000</v>
      </c>
      <c r="G37" s="209">
        <f t="shared" si="0"/>
        <v>4000000</v>
      </c>
    </row>
    <row r="38" spans="1:7" x14ac:dyDescent="0.2">
      <c r="A38" s="158">
        <f t="shared" si="1"/>
        <v>9</v>
      </c>
      <c r="B38" s="156" t="s">
        <v>140</v>
      </c>
      <c r="C38" s="160">
        <v>20000</v>
      </c>
      <c r="D38" s="159" t="s">
        <v>77</v>
      </c>
      <c r="E38" s="162"/>
      <c r="F38" s="296">
        <v>550</v>
      </c>
      <c r="G38" s="209">
        <f t="shared" si="0"/>
        <v>11000000</v>
      </c>
    </row>
    <row r="39" spans="1:7" x14ac:dyDescent="0.2">
      <c r="A39" s="158">
        <f t="shared" si="1"/>
        <v>10</v>
      </c>
      <c r="B39" s="156" t="s">
        <v>141</v>
      </c>
      <c r="C39" s="151">
        <v>2</v>
      </c>
      <c r="D39" s="159" t="s">
        <v>77</v>
      </c>
      <c r="E39" s="162"/>
      <c r="F39" s="296">
        <v>2000000</v>
      </c>
      <c r="G39" s="209">
        <f t="shared" si="0"/>
        <v>4000000</v>
      </c>
    </row>
    <row r="40" spans="1:7" x14ac:dyDescent="0.2">
      <c r="A40" s="158">
        <f t="shared" si="1"/>
        <v>11</v>
      </c>
      <c r="B40" s="156" t="s">
        <v>142</v>
      </c>
      <c r="C40" s="160">
        <v>20000</v>
      </c>
      <c r="D40" s="159" t="s">
        <v>77</v>
      </c>
      <c r="E40" s="162"/>
      <c r="F40" s="296">
        <v>600</v>
      </c>
      <c r="G40" s="209">
        <f t="shared" si="0"/>
        <v>12000000</v>
      </c>
    </row>
    <row r="41" spans="1:7" x14ac:dyDescent="0.2">
      <c r="A41" s="158">
        <f t="shared" si="1"/>
        <v>12</v>
      </c>
      <c r="B41" s="156" t="s">
        <v>133</v>
      </c>
      <c r="C41" s="160">
        <v>5000</v>
      </c>
      <c r="D41" s="159" t="s">
        <v>77</v>
      </c>
      <c r="E41" s="162"/>
      <c r="F41" s="296">
        <v>250</v>
      </c>
      <c r="G41" s="209">
        <f t="shared" si="0"/>
        <v>1250000</v>
      </c>
    </row>
    <row r="42" spans="1:7" x14ac:dyDescent="0.2">
      <c r="A42" s="158">
        <f t="shared" si="1"/>
        <v>13</v>
      </c>
      <c r="B42" s="156" t="s">
        <v>229</v>
      </c>
      <c r="C42" s="160">
        <v>5000</v>
      </c>
      <c r="D42" s="159" t="s">
        <v>77</v>
      </c>
      <c r="E42" s="162"/>
      <c r="F42" s="296">
        <v>550</v>
      </c>
      <c r="G42" s="209">
        <f t="shared" si="0"/>
        <v>2750000</v>
      </c>
    </row>
    <row r="43" spans="1:7" x14ac:dyDescent="0.2">
      <c r="A43" s="158">
        <f t="shared" si="1"/>
        <v>14</v>
      </c>
      <c r="B43" s="156" t="s">
        <v>124</v>
      </c>
      <c r="C43" s="160">
        <v>1</v>
      </c>
      <c r="D43" s="159" t="s">
        <v>77</v>
      </c>
      <c r="E43" s="162"/>
      <c r="F43" s="296">
        <v>2000000</v>
      </c>
      <c r="G43" s="209">
        <f t="shared" si="0"/>
        <v>2000000</v>
      </c>
    </row>
    <row r="44" spans="1:7" x14ac:dyDescent="0.2">
      <c r="A44" s="158">
        <f t="shared" si="1"/>
        <v>15</v>
      </c>
      <c r="B44" s="161" t="s">
        <v>125</v>
      </c>
      <c r="C44" s="160">
        <v>5000</v>
      </c>
      <c r="D44" s="159" t="s">
        <v>77</v>
      </c>
      <c r="E44" s="162"/>
      <c r="F44" s="296">
        <v>500</v>
      </c>
      <c r="G44" s="209">
        <f t="shared" si="0"/>
        <v>2500000</v>
      </c>
    </row>
    <row r="45" spans="1:7" x14ac:dyDescent="0.2">
      <c r="A45" s="158">
        <f t="shared" si="1"/>
        <v>16</v>
      </c>
      <c r="B45" s="161" t="s">
        <v>126</v>
      </c>
      <c r="C45" s="151">
        <v>1</v>
      </c>
      <c r="D45" s="159" t="s">
        <v>77</v>
      </c>
      <c r="E45" s="162"/>
      <c r="F45" s="296">
        <v>3000000</v>
      </c>
      <c r="G45" s="209">
        <f t="shared" si="0"/>
        <v>3000000</v>
      </c>
    </row>
    <row r="46" spans="1:7" x14ac:dyDescent="0.2">
      <c r="A46" s="158">
        <f t="shared" si="1"/>
        <v>17</v>
      </c>
      <c r="B46" s="161" t="s">
        <v>134</v>
      </c>
      <c r="C46" s="160">
        <v>5000</v>
      </c>
      <c r="D46" s="159" t="s">
        <v>77</v>
      </c>
      <c r="E46" s="162"/>
      <c r="F46" s="296">
        <v>1000</v>
      </c>
      <c r="G46" s="209">
        <f t="shared" si="0"/>
        <v>5000000</v>
      </c>
    </row>
    <row r="47" spans="1:7" x14ac:dyDescent="0.2">
      <c r="A47" s="158">
        <f t="shared" si="1"/>
        <v>18</v>
      </c>
      <c r="B47" s="156" t="s">
        <v>83</v>
      </c>
      <c r="C47" s="151">
        <v>5</v>
      </c>
      <c r="D47" s="159" t="s">
        <v>77</v>
      </c>
      <c r="E47" s="162"/>
      <c r="F47" s="296">
        <v>300000</v>
      </c>
      <c r="G47" s="209">
        <f t="shared" si="0"/>
        <v>1500000</v>
      </c>
    </row>
    <row r="48" spans="1:7" ht="25.5" x14ac:dyDescent="0.2">
      <c r="A48" s="158">
        <f t="shared" si="1"/>
        <v>19</v>
      </c>
      <c r="B48" s="156" t="s">
        <v>135</v>
      </c>
      <c r="C48" s="148">
        <v>40</v>
      </c>
      <c r="D48" s="159" t="s">
        <v>77</v>
      </c>
      <c r="E48" s="162" t="s">
        <v>156</v>
      </c>
      <c r="F48" s="296">
        <v>200000</v>
      </c>
      <c r="G48" s="209">
        <f t="shared" si="0"/>
        <v>8000000</v>
      </c>
    </row>
    <row r="49" spans="1:7" x14ac:dyDescent="0.2">
      <c r="A49" s="158">
        <f t="shared" si="1"/>
        <v>20</v>
      </c>
      <c r="B49" s="156" t="s">
        <v>84</v>
      </c>
      <c r="C49" s="151">
        <v>1</v>
      </c>
      <c r="D49" s="159" t="s">
        <v>77</v>
      </c>
      <c r="E49" s="162"/>
      <c r="F49" s="296">
        <v>300000</v>
      </c>
      <c r="G49" s="209">
        <f t="shared" si="0"/>
        <v>300000</v>
      </c>
    </row>
    <row r="50" spans="1:7" ht="25.5" x14ac:dyDescent="0.2">
      <c r="A50" s="158">
        <f t="shared" si="1"/>
        <v>21</v>
      </c>
      <c r="B50" s="156" t="s">
        <v>85</v>
      </c>
      <c r="C50" s="151">
        <v>2</v>
      </c>
      <c r="D50" s="159" t="s">
        <v>77</v>
      </c>
      <c r="E50" s="162" t="s">
        <v>156</v>
      </c>
      <c r="F50" s="296">
        <v>200000</v>
      </c>
      <c r="G50" s="209">
        <f t="shared" si="0"/>
        <v>400000</v>
      </c>
    </row>
    <row r="51" spans="1:7" x14ac:dyDescent="0.2">
      <c r="A51" s="158">
        <f t="shared" si="1"/>
        <v>22</v>
      </c>
      <c r="B51" s="156" t="s">
        <v>86</v>
      </c>
      <c r="C51" s="151">
        <v>1</v>
      </c>
      <c r="D51" s="159" t="s">
        <v>77</v>
      </c>
      <c r="E51" s="162"/>
      <c r="F51" s="296">
        <v>300000</v>
      </c>
      <c r="G51" s="209">
        <f t="shared" si="0"/>
        <v>300000</v>
      </c>
    </row>
    <row r="52" spans="1:7" ht="38.25" x14ac:dyDescent="0.2">
      <c r="A52" s="158">
        <f t="shared" si="1"/>
        <v>23</v>
      </c>
      <c r="B52" s="156" t="s">
        <v>87</v>
      </c>
      <c r="C52" s="151">
        <v>1</v>
      </c>
      <c r="D52" s="159" t="s">
        <v>77</v>
      </c>
      <c r="E52" s="162" t="s">
        <v>157</v>
      </c>
      <c r="F52" s="296">
        <v>200000</v>
      </c>
      <c r="G52" s="209">
        <f t="shared" si="0"/>
        <v>200000</v>
      </c>
    </row>
    <row r="53" spans="1:7" x14ac:dyDescent="0.2">
      <c r="A53" s="158">
        <f t="shared" si="1"/>
        <v>24</v>
      </c>
      <c r="B53" s="156" t="s">
        <v>88</v>
      </c>
      <c r="C53" s="151">
        <v>1</v>
      </c>
      <c r="D53" s="159" t="s">
        <v>77</v>
      </c>
      <c r="E53" s="162"/>
      <c r="F53" s="296">
        <v>300000</v>
      </c>
      <c r="G53" s="209">
        <f t="shared" si="0"/>
        <v>300000</v>
      </c>
    </row>
    <row r="54" spans="1:7" ht="38.25" x14ac:dyDescent="0.2">
      <c r="A54" s="158">
        <f t="shared" si="1"/>
        <v>25</v>
      </c>
      <c r="B54" s="156" t="s">
        <v>89</v>
      </c>
      <c r="C54" s="151">
        <v>2</v>
      </c>
      <c r="D54" s="159" t="s">
        <v>77</v>
      </c>
      <c r="E54" s="162" t="s">
        <v>157</v>
      </c>
      <c r="F54" s="296">
        <v>200000</v>
      </c>
      <c r="G54" s="209">
        <f t="shared" si="0"/>
        <v>400000</v>
      </c>
    </row>
    <row r="55" spans="1:7" x14ac:dyDescent="0.2">
      <c r="A55" s="158">
        <f>+A54+1</f>
        <v>26</v>
      </c>
      <c r="B55" s="156" t="s">
        <v>90</v>
      </c>
      <c r="C55" s="151">
        <v>1</v>
      </c>
      <c r="D55" s="159" t="s">
        <v>77</v>
      </c>
      <c r="E55" s="162"/>
      <c r="F55" s="300">
        <v>300000</v>
      </c>
      <c r="G55" s="209">
        <f t="shared" si="0"/>
        <v>300000</v>
      </c>
    </row>
    <row r="56" spans="1:7" ht="38.25" x14ac:dyDescent="0.2">
      <c r="A56" s="158">
        <f t="shared" si="1"/>
        <v>27</v>
      </c>
      <c r="B56" s="156" t="s">
        <v>91</v>
      </c>
      <c r="C56" s="151">
        <v>2</v>
      </c>
      <c r="D56" s="159" t="s">
        <v>77</v>
      </c>
      <c r="E56" s="162" t="s">
        <v>157</v>
      </c>
      <c r="F56" s="300">
        <v>200000</v>
      </c>
      <c r="G56" s="209">
        <f t="shared" si="0"/>
        <v>400000</v>
      </c>
    </row>
    <row r="57" spans="1:7" x14ac:dyDescent="0.2">
      <c r="A57" s="158">
        <f t="shared" si="1"/>
        <v>28</v>
      </c>
      <c r="B57" s="156" t="s">
        <v>92</v>
      </c>
      <c r="C57" s="151">
        <v>1</v>
      </c>
      <c r="D57" s="159" t="s">
        <v>77</v>
      </c>
      <c r="E57" s="162"/>
      <c r="F57" s="300">
        <v>300000</v>
      </c>
      <c r="G57" s="209">
        <f t="shared" si="0"/>
        <v>300000</v>
      </c>
    </row>
    <row r="58" spans="1:7" ht="38.25" x14ac:dyDescent="0.2">
      <c r="A58" s="158">
        <f t="shared" si="1"/>
        <v>29</v>
      </c>
      <c r="B58" s="156" t="s">
        <v>93</v>
      </c>
      <c r="C58" s="151">
        <v>1</v>
      </c>
      <c r="D58" s="159" t="s">
        <v>77</v>
      </c>
      <c r="E58" s="162" t="s">
        <v>157</v>
      </c>
      <c r="F58" s="300">
        <v>200000</v>
      </c>
      <c r="G58" s="209">
        <f t="shared" si="0"/>
        <v>200000</v>
      </c>
    </row>
    <row r="59" spans="1:7" x14ac:dyDescent="0.2">
      <c r="A59" s="158">
        <f t="shared" si="1"/>
        <v>30</v>
      </c>
      <c r="B59" s="156" t="s">
        <v>94</v>
      </c>
      <c r="C59" s="151">
        <v>1</v>
      </c>
      <c r="D59" s="159" t="s">
        <v>77</v>
      </c>
      <c r="E59" s="162"/>
      <c r="F59" s="300">
        <v>300000</v>
      </c>
      <c r="G59" s="209">
        <f t="shared" si="0"/>
        <v>300000</v>
      </c>
    </row>
    <row r="60" spans="1:7" ht="38.25" x14ac:dyDescent="0.2">
      <c r="A60" s="158">
        <f t="shared" si="1"/>
        <v>31</v>
      </c>
      <c r="B60" s="156" t="s">
        <v>95</v>
      </c>
      <c r="C60" s="151">
        <v>1</v>
      </c>
      <c r="D60" s="159" t="s">
        <v>77</v>
      </c>
      <c r="E60" s="162" t="s">
        <v>157</v>
      </c>
      <c r="F60" s="300">
        <v>200000</v>
      </c>
      <c r="G60" s="209">
        <f t="shared" si="0"/>
        <v>200000</v>
      </c>
    </row>
    <row r="61" spans="1:7" x14ac:dyDescent="0.2">
      <c r="A61" s="158">
        <f t="shared" si="1"/>
        <v>32</v>
      </c>
      <c r="B61" s="156" t="s">
        <v>96</v>
      </c>
      <c r="C61" s="151">
        <v>1</v>
      </c>
      <c r="D61" s="159" t="s">
        <v>77</v>
      </c>
      <c r="E61" s="162"/>
      <c r="F61" s="301">
        <v>80000</v>
      </c>
      <c r="G61" s="209">
        <f t="shared" si="0"/>
        <v>80000</v>
      </c>
    </row>
    <row r="62" spans="1:7" x14ac:dyDescent="0.2">
      <c r="A62" s="158">
        <f t="shared" si="1"/>
        <v>33</v>
      </c>
      <c r="B62" s="156" t="s">
        <v>97</v>
      </c>
      <c r="C62" s="151">
        <v>1</v>
      </c>
      <c r="D62" s="159" t="s">
        <v>77</v>
      </c>
      <c r="E62" s="162"/>
      <c r="F62" s="301">
        <v>150000</v>
      </c>
      <c r="G62" s="209">
        <f t="shared" si="0"/>
        <v>150000</v>
      </c>
    </row>
    <row r="63" spans="1:7" x14ac:dyDescent="0.2">
      <c r="A63" s="158">
        <f t="shared" si="1"/>
        <v>34</v>
      </c>
      <c r="B63" s="156" t="s">
        <v>98</v>
      </c>
      <c r="C63" s="151">
        <v>1</v>
      </c>
      <c r="D63" s="159" t="s">
        <v>77</v>
      </c>
      <c r="E63" s="162"/>
      <c r="F63" s="301">
        <v>240000</v>
      </c>
      <c r="G63" s="209">
        <f t="shared" si="0"/>
        <v>240000</v>
      </c>
    </row>
    <row r="64" spans="1:7" x14ac:dyDescent="0.2">
      <c r="A64" s="158">
        <f t="shared" si="1"/>
        <v>35</v>
      </c>
      <c r="B64" s="156" t="s">
        <v>99</v>
      </c>
      <c r="C64" s="151">
        <v>1</v>
      </c>
      <c r="D64" s="159" t="s">
        <v>77</v>
      </c>
      <c r="E64" s="162"/>
      <c r="F64" s="301">
        <v>300000</v>
      </c>
      <c r="G64" s="209">
        <f t="shared" si="0"/>
        <v>300000</v>
      </c>
    </row>
    <row r="65" spans="1:7" x14ac:dyDescent="0.2">
      <c r="A65" s="158">
        <f t="shared" si="1"/>
        <v>36</v>
      </c>
      <c r="B65" s="156" t="s">
        <v>100</v>
      </c>
      <c r="C65" s="151">
        <v>1</v>
      </c>
      <c r="D65" s="154" t="s">
        <v>77</v>
      </c>
      <c r="E65" s="162"/>
      <c r="F65" s="301">
        <v>600000</v>
      </c>
      <c r="G65" s="209">
        <f t="shared" si="0"/>
        <v>600000</v>
      </c>
    </row>
    <row r="66" spans="1:7" x14ac:dyDescent="0.2">
      <c r="A66" s="158">
        <f t="shared" si="1"/>
        <v>37</v>
      </c>
      <c r="B66" s="156" t="s">
        <v>155</v>
      </c>
      <c r="C66" s="151">
        <v>5000</v>
      </c>
      <c r="D66" s="159"/>
      <c r="E66" s="162"/>
      <c r="F66" s="296">
        <v>1000</v>
      </c>
      <c r="G66" s="209">
        <f t="shared" si="0"/>
        <v>5000000</v>
      </c>
    </row>
    <row r="67" spans="1:7" ht="14.25" customHeight="1" x14ac:dyDescent="0.2">
      <c r="A67" s="143"/>
      <c r="B67" s="551" t="s">
        <v>178</v>
      </c>
      <c r="C67" s="552"/>
      <c r="D67" s="552"/>
      <c r="E67" s="552"/>
      <c r="F67" s="552"/>
      <c r="G67" s="553"/>
    </row>
    <row r="68" spans="1:7" x14ac:dyDescent="0.2">
      <c r="A68" s="158">
        <v>1</v>
      </c>
      <c r="B68" s="156" t="s">
        <v>163</v>
      </c>
      <c r="C68" s="160">
        <v>58500</v>
      </c>
      <c r="D68" s="159" t="s">
        <v>77</v>
      </c>
      <c r="E68" s="162"/>
      <c r="F68" s="296">
        <v>550</v>
      </c>
      <c r="G68" s="209">
        <f t="shared" si="0"/>
        <v>32175000</v>
      </c>
    </row>
    <row r="69" spans="1:7" x14ac:dyDescent="0.2">
      <c r="A69" s="158">
        <v>2</v>
      </c>
      <c r="B69" s="156" t="s">
        <v>164</v>
      </c>
      <c r="C69" s="160"/>
      <c r="D69" s="159"/>
      <c r="E69" s="162"/>
      <c r="F69" s="296">
        <v>2000000</v>
      </c>
      <c r="G69" s="209">
        <f>F69</f>
        <v>2000000</v>
      </c>
    </row>
    <row r="70" spans="1:7" ht="27.75" customHeight="1" x14ac:dyDescent="0.2">
      <c r="A70" s="158">
        <v>5</v>
      </c>
      <c r="B70" s="156" t="s">
        <v>167</v>
      </c>
      <c r="C70" s="160">
        <v>29250</v>
      </c>
      <c r="D70" s="159" t="s">
        <v>77</v>
      </c>
      <c r="E70" s="162"/>
      <c r="F70" s="301">
        <v>600</v>
      </c>
      <c r="G70" s="209">
        <f t="shared" si="0"/>
        <v>17550000</v>
      </c>
    </row>
    <row r="71" spans="1:7" ht="30" customHeight="1" x14ac:dyDescent="0.2">
      <c r="A71" s="158">
        <v>6</v>
      </c>
      <c r="B71" s="156" t="s">
        <v>168</v>
      </c>
      <c r="C71" s="160"/>
      <c r="D71" s="159"/>
      <c r="E71" s="162"/>
      <c r="F71" s="301">
        <v>2000000</v>
      </c>
      <c r="G71" s="209">
        <f t="shared" si="0"/>
        <v>0</v>
      </c>
    </row>
    <row r="72" spans="1:7" ht="14.25" customHeight="1" x14ac:dyDescent="0.2">
      <c r="A72" s="143"/>
      <c r="B72" s="142" t="s">
        <v>179</v>
      </c>
      <c r="C72" s="144"/>
      <c r="D72" s="142"/>
      <c r="E72" s="145"/>
      <c r="F72" s="145"/>
      <c r="G72" s="197"/>
    </row>
    <row r="73" spans="1:7" x14ac:dyDescent="0.2">
      <c r="A73" s="158" t="s">
        <v>180</v>
      </c>
      <c r="B73" s="156" t="s">
        <v>143</v>
      </c>
      <c r="C73" s="151">
        <v>1</v>
      </c>
      <c r="D73" s="159" t="s">
        <v>106</v>
      </c>
      <c r="E73" s="162" t="s">
        <v>130</v>
      </c>
      <c r="F73" s="301">
        <v>5000000</v>
      </c>
      <c r="G73" s="209">
        <f t="shared" ref="G73:G75" si="2">+F73*C73</f>
        <v>5000000</v>
      </c>
    </row>
    <row r="74" spans="1:7" x14ac:dyDescent="0.2">
      <c r="A74" s="158" t="s">
        <v>181</v>
      </c>
      <c r="B74" s="156" t="s">
        <v>118</v>
      </c>
      <c r="C74" s="151">
        <v>1</v>
      </c>
      <c r="D74" s="159" t="s">
        <v>119</v>
      </c>
      <c r="E74" s="163" t="s">
        <v>109</v>
      </c>
      <c r="F74" s="296">
        <v>30000000</v>
      </c>
      <c r="G74" s="209">
        <f t="shared" si="2"/>
        <v>30000000</v>
      </c>
    </row>
    <row r="75" spans="1:7" ht="42" customHeight="1" x14ac:dyDescent="0.2">
      <c r="A75" s="158" t="s">
        <v>182</v>
      </c>
      <c r="B75" s="156" t="s">
        <v>120</v>
      </c>
      <c r="C75" s="160">
        <v>4000</v>
      </c>
      <c r="D75" s="159" t="s">
        <v>108</v>
      </c>
      <c r="E75" s="164" t="s">
        <v>158</v>
      </c>
      <c r="F75" s="301">
        <v>800</v>
      </c>
      <c r="G75" s="209">
        <f t="shared" si="2"/>
        <v>3200000</v>
      </c>
    </row>
    <row r="76" spans="1:7" ht="25.5" x14ac:dyDescent="0.2">
      <c r="A76" s="143"/>
      <c r="B76" s="165" t="s">
        <v>121</v>
      </c>
      <c r="C76" s="144"/>
      <c r="D76" s="142"/>
      <c r="E76" s="145"/>
      <c r="F76" s="145"/>
      <c r="G76" s="197"/>
    </row>
    <row r="77" spans="1:7" x14ac:dyDescent="0.2">
      <c r="A77" s="158"/>
      <c r="B77" s="156" t="s">
        <v>122</v>
      </c>
      <c r="C77" s="151"/>
      <c r="D77" s="159"/>
      <c r="E77" s="162"/>
      <c r="F77" s="302">
        <v>3000000</v>
      </c>
      <c r="G77" s="209">
        <f>F77</f>
        <v>3000000</v>
      </c>
    </row>
    <row r="78" spans="1:7" x14ac:dyDescent="0.2">
      <c r="A78" s="143"/>
      <c r="B78" s="165" t="s">
        <v>183</v>
      </c>
      <c r="C78" s="144"/>
      <c r="D78" s="142"/>
      <c r="E78" s="145"/>
      <c r="F78" s="145"/>
      <c r="G78" s="197"/>
    </row>
    <row r="79" spans="1:7" ht="38.25" x14ac:dyDescent="0.2">
      <c r="A79" s="146" t="s">
        <v>184</v>
      </c>
      <c r="B79" s="147" t="s">
        <v>162</v>
      </c>
      <c r="C79" s="148">
        <v>1</v>
      </c>
      <c r="D79" s="166" t="s">
        <v>77</v>
      </c>
      <c r="E79" s="163" t="s">
        <v>169</v>
      </c>
      <c r="F79" s="296">
        <v>20000000</v>
      </c>
      <c r="G79" s="209">
        <f t="shared" ref="G79:G81" si="3">+F79*C79</f>
        <v>20000000</v>
      </c>
    </row>
    <row r="80" spans="1:7" x14ac:dyDescent="0.2">
      <c r="A80" s="167"/>
      <c r="B80" s="168" t="s">
        <v>185</v>
      </c>
      <c r="C80" s="169"/>
      <c r="D80" s="168"/>
      <c r="E80" s="170"/>
      <c r="F80" s="170"/>
      <c r="G80" s="205"/>
    </row>
    <row r="81" spans="1:8" ht="169.5" customHeight="1" x14ac:dyDescent="0.2">
      <c r="A81" s="146">
        <v>2.6</v>
      </c>
      <c r="B81" s="156" t="s">
        <v>103</v>
      </c>
      <c r="C81" s="151">
        <v>10</v>
      </c>
      <c r="D81" s="154" t="s">
        <v>105</v>
      </c>
      <c r="E81" s="149" t="s">
        <v>104</v>
      </c>
      <c r="F81" s="303">
        <v>7000000</v>
      </c>
      <c r="G81" s="209">
        <f t="shared" si="3"/>
        <v>70000000</v>
      </c>
      <c r="H81" s="171"/>
    </row>
    <row r="82" spans="1:8" x14ac:dyDescent="0.2">
      <c r="G82" s="188">
        <f>SUM(G12:G81)</f>
        <v>854655000</v>
      </c>
    </row>
  </sheetData>
  <mergeCells count="5">
    <mergeCell ref="A8:G8"/>
    <mergeCell ref="A9:B9"/>
    <mergeCell ref="A23:A25"/>
    <mergeCell ref="B23:B25"/>
    <mergeCell ref="B67:G67"/>
  </mergeCells>
  <pageMargins left="0.70866141732283472" right="0.70866141732283472" top="0.74803149606299213" bottom="0.74803149606299213" header="0.31496062992125984" footer="0.31496062992125984"/>
  <pageSetup scale="57" orientation="landscape" r:id="rId1"/>
  <rowBreaks count="2" manualBreakCount="2">
    <brk id="42" max="6" man="1"/>
    <brk id="77" max="6"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1"/>
  <sheetViews>
    <sheetView topLeftCell="C48" zoomScale="90" zoomScaleNormal="90" zoomScalePageLayoutView="125" workbookViewId="0">
      <selection activeCell="B66" sqref="B66"/>
    </sheetView>
  </sheetViews>
  <sheetFormatPr baseColWidth="10" defaultColWidth="10.85546875" defaultRowHeight="12.75" x14ac:dyDescent="0.2"/>
  <cols>
    <col min="1" max="1" width="7.42578125" style="172" bestFit="1" customWidth="1"/>
    <col min="2" max="2" width="83" style="173" customWidth="1"/>
    <col min="3" max="3" width="14.140625" style="174" customWidth="1"/>
    <col min="4" max="4" width="16.140625" style="174" customWidth="1"/>
    <col min="5" max="5" width="65.28515625" style="175" customWidth="1"/>
    <col min="6" max="6" width="15.7109375" style="178" bestFit="1" customWidth="1"/>
    <col min="7" max="7" width="20.28515625" style="178" bestFit="1" customWidth="1"/>
    <col min="8" max="16384" width="10.85546875" style="137"/>
  </cols>
  <sheetData>
    <row r="1" spans="1:7" x14ac:dyDescent="0.2">
      <c r="B1" s="176" t="s">
        <v>191</v>
      </c>
    </row>
    <row r="2" spans="1:7" x14ac:dyDescent="0.2">
      <c r="B2" s="176" t="s">
        <v>192</v>
      </c>
    </row>
    <row r="3" spans="1:7" x14ac:dyDescent="0.2">
      <c r="B3" s="176" t="s">
        <v>194</v>
      </c>
    </row>
    <row r="4" spans="1:7" x14ac:dyDescent="0.2">
      <c r="B4" s="177" t="s">
        <v>161</v>
      </c>
    </row>
    <row r="5" spans="1:7" x14ac:dyDescent="0.2">
      <c r="B5" s="176" t="s">
        <v>160</v>
      </c>
    </row>
    <row r="6" spans="1:7" x14ac:dyDescent="0.2">
      <c r="B6" s="176" t="s">
        <v>193</v>
      </c>
    </row>
    <row r="8" spans="1:7" ht="15" customHeight="1" x14ac:dyDescent="0.2">
      <c r="A8" s="544" t="s">
        <v>102</v>
      </c>
      <c r="B8" s="544"/>
      <c r="C8" s="544"/>
      <c r="D8" s="544"/>
      <c r="E8" s="544"/>
      <c r="F8" s="544"/>
      <c r="G8" s="544"/>
    </row>
    <row r="9" spans="1:7" ht="25.5" x14ac:dyDescent="0.2">
      <c r="A9" s="545" t="s">
        <v>62</v>
      </c>
      <c r="B9" s="546"/>
      <c r="C9" s="138" t="s">
        <v>63</v>
      </c>
      <c r="D9" s="139" t="s">
        <v>64</v>
      </c>
      <c r="E9" s="293" t="s">
        <v>65</v>
      </c>
      <c r="F9" s="179" t="s">
        <v>101</v>
      </c>
      <c r="G9" s="179" t="s">
        <v>61</v>
      </c>
    </row>
    <row r="10" spans="1:7" x14ac:dyDescent="0.2">
      <c r="A10" s="141"/>
      <c r="B10" s="142" t="s">
        <v>117</v>
      </c>
      <c r="C10" s="138"/>
      <c r="D10" s="139"/>
      <c r="E10" s="293"/>
      <c r="F10" s="179"/>
      <c r="G10" s="179"/>
    </row>
    <row r="11" spans="1:7" x14ac:dyDescent="0.2">
      <c r="A11" s="143" t="s">
        <v>129</v>
      </c>
      <c r="B11" s="142" t="s">
        <v>170</v>
      </c>
      <c r="C11" s="144"/>
      <c r="D11" s="142"/>
      <c r="E11" s="145"/>
      <c r="F11" s="180"/>
      <c r="G11" s="180"/>
    </row>
    <row r="12" spans="1:7" ht="91.5" customHeight="1" x14ac:dyDescent="0.2">
      <c r="A12" s="146" t="s">
        <v>171</v>
      </c>
      <c r="B12" s="147" t="s">
        <v>127</v>
      </c>
      <c r="C12" s="148">
        <v>3</v>
      </c>
      <c r="D12" s="148" t="s">
        <v>111</v>
      </c>
      <c r="E12" s="149" t="s">
        <v>131</v>
      </c>
      <c r="F12" s="181">
        <v>29700000</v>
      </c>
      <c r="G12" s="181">
        <f>+F12*C12</f>
        <v>89100000</v>
      </c>
    </row>
    <row r="13" spans="1:7" ht="99" customHeight="1" x14ac:dyDescent="0.2">
      <c r="A13" s="150" t="s">
        <v>171</v>
      </c>
      <c r="B13" s="147" t="s">
        <v>128</v>
      </c>
      <c r="C13" s="148">
        <v>2</v>
      </c>
      <c r="D13" s="148" t="s">
        <v>111</v>
      </c>
      <c r="E13" s="149" t="s">
        <v>132</v>
      </c>
      <c r="F13" s="181">
        <v>29400000</v>
      </c>
      <c r="G13" s="181">
        <f t="shared" ref="G13:G71" si="0">+F13*C13</f>
        <v>58800000</v>
      </c>
    </row>
    <row r="14" spans="1:7" ht="162" customHeight="1" x14ac:dyDescent="0.2">
      <c r="A14" s="150" t="s">
        <v>171</v>
      </c>
      <c r="B14" s="147" t="s">
        <v>186</v>
      </c>
      <c r="C14" s="148">
        <v>5</v>
      </c>
      <c r="D14" s="148" t="s">
        <v>110</v>
      </c>
      <c r="E14" s="149" t="s">
        <v>136</v>
      </c>
      <c r="F14" s="181">
        <v>7300000</v>
      </c>
      <c r="G14" s="181">
        <f t="shared" si="0"/>
        <v>36500000</v>
      </c>
    </row>
    <row r="15" spans="1:7" ht="162.75" customHeight="1" x14ac:dyDescent="0.2">
      <c r="A15" s="146" t="s">
        <v>171</v>
      </c>
      <c r="B15" s="147" t="s">
        <v>187</v>
      </c>
      <c r="C15" s="148">
        <v>5</v>
      </c>
      <c r="D15" s="148" t="s">
        <v>110</v>
      </c>
      <c r="E15" s="149" t="s">
        <v>112</v>
      </c>
      <c r="F15" s="181">
        <v>5400000</v>
      </c>
      <c r="G15" s="181">
        <f t="shared" si="0"/>
        <v>27000000</v>
      </c>
    </row>
    <row r="16" spans="1:7" ht="25.5" x14ac:dyDescent="0.2">
      <c r="A16" s="146" t="s">
        <v>172</v>
      </c>
      <c r="B16" s="147" t="s">
        <v>113</v>
      </c>
      <c r="C16" s="148">
        <v>6</v>
      </c>
      <c r="D16" s="148" t="s">
        <v>114</v>
      </c>
      <c r="E16" s="149" t="s">
        <v>115</v>
      </c>
      <c r="F16" s="181">
        <v>21000000</v>
      </c>
      <c r="G16" s="181">
        <f t="shared" si="0"/>
        <v>126000000</v>
      </c>
    </row>
    <row r="17" spans="1:7" ht="43.5" customHeight="1" x14ac:dyDescent="0.2">
      <c r="A17" s="146" t="s">
        <v>173</v>
      </c>
      <c r="B17" s="147" t="s">
        <v>107</v>
      </c>
      <c r="C17" s="151">
        <v>16</v>
      </c>
      <c r="D17" s="148" t="s">
        <v>123</v>
      </c>
      <c r="E17" s="149" t="s">
        <v>116</v>
      </c>
      <c r="F17" s="181">
        <v>14500000</v>
      </c>
      <c r="G17" s="181">
        <f t="shared" si="0"/>
        <v>232000000</v>
      </c>
    </row>
    <row r="18" spans="1:7" ht="285.75" customHeight="1" x14ac:dyDescent="0.2">
      <c r="A18" s="152" t="s">
        <v>174</v>
      </c>
      <c r="B18" s="147" t="s">
        <v>151</v>
      </c>
      <c r="C18" s="148">
        <v>2</v>
      </c>
      <c r="D18" s="148" t="s">
        <v>145</v>
      </c>
      <c r="E18" s="149" t="s">
        <v>152</v>
      </c>
      <c r="F18" s="181">
        <v>15400000</v>
      </c>
      <c r="G18" s="181">
        <f t="shared" si="0"/>
        <v>30800000</v>
      </c>
    </row>
    <row r="19" spans="1:7" ht="305.25" customHeight="1" thickBot="1" x14ac:dyDescent="0.25">
      <c r="A19" s="152">
        <v>2.4</v>
      </c>
      <c r="B19" s="147" t="s">
        <v>153</v>
      </c>
      <c r="C19" s="148">
        <v>2</v>
      </c>
      <c r="D19" s="148" t="s">
        <v>145</v>
      </c>
      <c r="E19" s="149" t="s">
        <v>154</v>
      </c>
      <c r="F19" s="182">
        <v>19000000</v>
      </c>
      <c r="G19" s="181">
        <f t="shared" si="0"/>
        <v>38000000</v>
      </c>
    </row>
    <row r="20" spans="1:7" ht="55.5" customHeight="1" x14ac:dyDescent="0.2">
      <c r="A20" s="152">
        <v>2</v>
      </c>
      <c r="B20" s="147" t="s">
        <v>144</v>
      </c>
      <c r="C20" s="147">
        <v>10</v>
      </c>
      <c r="D20" s="147" t="s">
        <v>145</v>
      </c>
      <c r="E20" s="147" t="s">
        <v>146</v>
      </c>
      <c r="F20" s="183">
        <v>5000000</v>
      </c>
      <c r="G20" s="181">
        <f t="shared" si="0"/>
        <v>50000000</v>
      </c>
    </row>
    <row r="21" spans="1:7" ht="216.75" customHeight="1" x14ac:dyDescent="0.2">
      <c r="A21" s="152">
        <v>2.1</v>
      </c>
      <c r="B21" s="147" t="s">
        <v>189</v>
      </c>
      <c r="C21" s="147">
        <v>48</v>
      </c>
      <c r="D21" s="147" t="s">
        <v>145</v>
      </c>
      <c r="E21" s="147" t="s">
        <v>147</v>
      </c>
      <c r="F21" s="184">
        <v>3500000</v>
      </c>
      <c r="G21" s="181">
        <f t="shared" si="0"/>
        <v>168000000</v>
      </c>
    </row>
    <row r="22" spans="1:7" ht="68.25" customHeight="1" x14ac:dyDescent="0.2">
      <c r="A22" s="152">
        <v>2.1</v>
      </c>
      <c r="B22" s="147" t="s">
        <v>148</v>
      </c>
      <c r="C22" s="147">
        <v>8</v>
      </c>
      <c r="D22" s="147" t="s">
        <v>145</v>
      </c>
      <c r="E22" s="147" t="s">
        <v>66</v>
      </c>
      <c r="F22" s="181">
        <v>1200000</v>
      </c>
      <c r="G22" s="181">
        <f t="shared" si="0"/>
        <v>9600000</v>
      </c>
    </row>
    <row r="23" spans="1:7" x14ac:dyDescent="0.2">
      <c r="A23" s="547">
        <v>2.1</v>
      </c>
      <c r="B23" s="550" t="s">
        <v>67</v>
      </c>
      <c r="C23" s="153">
        <v>8</v>
      </c>
      <c r="D23" s="154" t="s">
        <v>145</v>
      </c>
      <c r="E23" s="155" t="s">
        <v>68</v>
      </c>
      <c r="F23" s="181">
        <v>280000</v>
      </c>
      <c r="G23" s="181">
        <f t="shared" si="0"/>
        <v>2240000</v>
      </c>
    </row>
    <row r="24" spans="1:7" x14ac:dyDescent="0.2">
      <c r="A24" s="548"/>
      <c r="B24" s="550"/>
      <c r="C24" s="153">
        <v>8</v>
      </c>
      <c r="D24" s="154" t="s">
        <v>145</v>
      </c>
      <c r="E24" s="155" t="s">
        <v>69</v>
      </c>
      <c r="F24" s="181">
        <v>280000</v>
      </c>
      <c r="G24" s="181">
        <f t="shared" si="0"/>
        <v>2240000</v>
      </c>
    </row>
    <row r="25" spans="1:7" x14ac:dyDescent="0.2">
      <c r="A25" s="549"/>
      <c r="B25" s="550"/>
      <c r="C25" s="153">
        <v>8</v>
      </c>
      <c r="D25" s="154" t="s">
        <v>145</v>
      </c>
      <c r="E25" s="155" t="s">
        <v>70</v>
      </c>
      <c r="F25" s="181">
        <v>160000</v>
      </c>
      <c r="G25" s="181">
        <f t="shared" si="0"/>
        <v>1280000</v>
      </c>
    </row>
    <row r="26" spans="1:7" x14ac:dyDescent="0.2">
      <c r="A26" s="152">
        <v>2.1</v>
      </c>
      <c r="B26" s="156" t="s">
        <v>71</v>
      </c>
      <c r="C26" s="154">
        <v>8</v>
      </c>
      <c r="D26" s="154" t="s">
        <v>145</v>
      </c>
      <c r="E26" s="156" t="s">
        <v>72</v>
      </c>
      <c r="F26" s="181">
        <v>13200000</v>
      </c>
      <c r="G26" s="181">
        <f t="shared" si="0"/>
        <v>105600000</v>
      </c>
    </row>
    <row r="27" spans="1:7" x14ac:dyDescent="0.2">
      <c r="A27" s="152">
        <v>2.1</v>
      </c>
      <c r="B27" s="156" t="s">
        <v>71</v>
      </c>
      <c r="C27" s="154">
        <v>8</v>
      </c>
      <c r="D27" s="154" t="s">
        <v>145</v>
      </c>
      <c r="E27" s="156" t="s">
        <v>72</v>
      </c>
      <c r="F27" s="181">
        <v>13200000</v>
      </c>
      <c r="G27" s="181">
        <f t="shared" si="0"/>
        <v>105600000</v>
      </c>
    </row>
    <row r="28" spans="1:7" x14ac:dyDescent="0.2">
      <c r="A28" s="152">
        <v>2.1</v>
      </c>
      <c r="B28" s="157" t="s">
        <v>73</v>
      </c>
      <c r="C28" s="151">
        <v>8</v>
      </c>
      <c r="D28" s="151" t="s">
        <v>75</v>
      </c>
      <c r="E28" s="162" t="s">
        <v>74</v>
      </c>
      <c r="F28" s="181">
        <v>700000</v>
      </c>
      <c r="G28" s="181">
        <f t="shared" si="0"/>
        <v>5600000</v>
      </c>
    </row>
    <row r="29" spans="1:7" x14ac:dyDescent="0.2">
      <c r="A29" s="143"/>
      <c r="B29" s="142" t="s">
        <v>177</v>
      </c>
      <c r="C29" s="144"/>
      <c r="D29" s="142"/>
      <c r="E29" s="145"/>
      <c r="F29" s="180"/>
      <c r="G29" s="180"/>
    </row>
    <row r="30" spans="1:7" x14ac:dyDescent="0.2">
      <c r="A30" s="158">
        <v>1</v>
      </c>
      <c r="B30" s="156" t="s">
        <v>78</v>
      </c>
      <c r="C30" s="151">
        <v>1</v>
      </c>
      <c r="D30" s="159" t="s">
        <v>77</v>
      </c>
      <c r="E30" s="162"/>
      <c r="F30" s="181">
        <v>650000</v>
      </c>
      <c r="G30" s="181">
        <f t="shared" si="0"/>
        <v>650000</v>
      </c>
    </row>
    <row r="31" spans="1:7" x14ac:dyDescent="0.2">
      <c r="A31" s="158">
        <f t="shared" ref="A31:A66" si="1">+A30+1</f>
        <v>2</v>
      </c>
      <c r="B31" s="156" t="s">
        <v>79</v>
      </c>
      <c r="C31" s="160">
        <v>30000</v>
      </c>
      <c r="D31" s="159" t="s">
        <v>77</v>
      </c>
      <c r="E31" s="162"/>
      <c r="F31" s="181">
        <v>1300</v>
      </c>
      <c r="G31" s="181">
        <f>+F31*C31</f>
        <v>39000000</v>
      </c>
    </row>
    <row r="32" spans="1:7" x14ac:dyDescent="0.2">
      <c r="A32" s="158">
        <f t="shared" si="1"/>
        <v>3</v>
      </c>
      <c r="B32" s="156" t="s">
        <v>80</v>
      </c>
      <c r="C32" s="151">
        <v>1</v>
      </c>
      <c r="D32" s="159" t="s">
        <v>77</v>
      </c>
      <c r="E32" s="162"/>
      <c r="F32" s="181">
        <v>2100000</v>
      </c>
      <c r="G32" s="181">
        <f t="shared" si="0"/>
        <v>2100000</v>
      </c>
    </row>
    <row r="33" spans="1:7" x14ac:dyDescent="0.2">
      <c r="A33" s="158">
        <f t="shared" si="1"/>
        <v>4</v>
      </c>
      <c r="B33" s="156" t="s">
        <v>81</v>
      </c>
      <c r="C33" s="151">
        <v>2</v>
      </c>
      <c r="D33" s="159" t="s">
        <v>77</v>
      </c>
      <c r="E33" s="162"/>
      <c r="F33" s="181">
        <v>1500000</v>
      </c>
      <c r="G33" s="181">
        <f t="shared" si="0"/>
        <v>3000000</v>
      </c>
    </row>
    <row r="34" spans="1:7" x14ac:dyDescent="0.2">
      <c r="A34" s="158">
        <f t="shared" si="1"/>
        <v>5</v>
      </c>
      <c r="B34" s="156" t="s">
        <v>82</v>
      </c>
      <c r="C34" s="151">
        <v>4</v>
      </c>
      <c r="D34" s="159" t="s">
        <v>77</v>
      </c>
      <c r="E34" s="162"/>
      <c r="F34" s="181">
        <v>1400000</v>
      </c>
      <c r="G34" s="181">
        <f t="shared" si="0"/>
        <v>5600000</v>
      </c>
    </row>
    <row r="35" spans="1:7" x14ac:dyDescent="0.2">
      <c r="A35" s="158">
        <f t="shared" si="1"/>
        <v>6</v>
      </c>
      <c r="B35" s="156" t="s">
        <v>137</v>
      </c>
      <c r="C35" s="151">
        <v>4</v>
      </c>
      <c r="D35" s="159" t="s">
        <v>77</v>
      </c>
      <c r="E35" s="162"/>
      <c r="F35" s="181">
        <v>600000</v>
      </c>
      <c r="G35" s="181">
        <f t="shared" si="0"/>
        <v>2400000</v>
      </c>
    </row>
    <row r="36" spans="1:7" x14ac:dyDescent="0.2">
      <c r="A36" s="158">
        <f t="shared" si="1"/>
        <v>7</v>
      </c>
      <c r="B36" s="156" t="s">
        <v>138</v>
      </c>
      <c r="C36" s="160">
        <v>40000</v>
      </c>
      <c r="D36" s="159" t="s">
        <v>77</v>
      </c>
      <c r="E36" s="162"/>
      <c r="F36" s="184">
        <v>310</v>
      </c>
      <c r="G36" s="181">
        <f t="shared" si="0"/>
        <v>12400000</v>
      </c>
    </row>
    <row r="37" spans="1:7" x14ac:dyDescent="0.2">
      <c r="A37" s="158">
        <f t="shared" si="1"/>
        <v>8</v>
      </c>
      <c r="B37" s="156" t="s">
        <v>139</v>
      </c>
      <c r="C37" s="151">
        <v>2</v>
      </c>
      <c r="D37" s="159" t="s">
        <v>77</v>
      </c>
      <c r="E37" s="162"/>
      <c r="F37" s="181">
        <v>900000</v>
      </c>
      <c r="G37" s="181">
        <f t="shared" si="0"/>
        <v>1800000</v>
      </c>
    </row>
    <row r="38" spans="1:7" x14ac:dyDescent="0.2">
      <c r="A38" s="158">
        <f t="shared" si="1"/>
        <v>9</v>
      </c>
      <c r="B38" s="156" t="s">
        <v>140</v>
      </c>
      <c r="C38" s="160">
        <v>20000</v>
      </c>
      <c r="D38" s="159" t="s">
        <v>77</v>
      </c>
      <c r="E38" s="162"/>
      <c r="F38" s="184">
        <v>360</v>
      </c>
      <c r="G38" s="181">
        <f t="shared" si="0"/>
        <v>7200000</v>
      </c>
    </row>
    <row r="39" spans="1:7" x14ac:dyDescent="0.2">
      <c r="A39" s="158">
        <f t="shared" si="1"/>
        <v>10</v>
      </c>
      <c r="B39" s="156" t="s">
        <v>141</v>
      </c>
      <c r="C39" s="151">
        <v>2</v>
      </c>
      <c r="D39" s="159" t="s">
        <v>77</v>
      </c>
      <c r="E39" s="162"/>
      <c r="F39" s="181">
        <v>1200000</v>
      </c>
      <c r="G39" s="181">
        <f t="shared" si="0"/>
        <v>2400000</v>
      </c>
    </row>
    <row r="40" spans="1:7" x14ac:dyDescent="0.2">
      <c r="A40" s="158">
        <f t="shared" si="1"/>
        <v>11</v>
      </c>
      <c r="B40" s="156" t="s">
        <v>142</v>
      </c>
      <c r="C40" s="160">
        <v>20000</v>
      </c>
      <c r="D40" s="159" t="s">
        <v>77</v>
      </c>
      <c r="E40" s="162"/>
      <c r="F40" s="184">
        <v>360</v>
      </c>
      <c r="G40" s="181">
        <f t="shared" si="0"/>
        <v>7200000</v>
      </c>
    </row>
    <row r="41" spans="1:7" x14ac:dyDescent="0.2">
      <c r="A41" s="158">
        <f t="shared" si="1"/>
        <v>12</v>
      </c>
      <c r="B41" s="156" t="s">
        <v>133</v>
      </c>
      <c r="C41" s="160">
        <v>5000</v>
      </c>
      <c r="D41" s="159" t="s">
        <v>77</v>
      </c>
      <c r="E41" s="162"/>
      <c r="F41" s="181">
        <v>3500</v>
      </c>
      <c r="G41" s="181">
        <f t="shared" si="0"/>
        <v>17500000</v>
      </c>
    </row>
    <row r="42" spans="1:7" ht="28.5" customHeight="1" x14ac:dyDescent="0.2">
      <c r="A42" s="158">
        <f t="shared" si="1"/>
        <v>13</v>
      </c>
      <c r="B42" s="156" t="s">
        <v>188</v>
      </c>
      <c r="C42" s="160">
        <v>5000</v>
      </c>
      <c r="D42" s="159" t="s">
        <v>77</v>
      </c>
      <c r="E42" s="162"/>
      <c r="F42" s="181">
        <v>1800</v>
      </c>
      <c r="G42" s="181">
        <f t="shared" si="0"/>
        <v>9000000</v>
      </c>
    </row>
    <row r="43" spans="1:7" x14ac:dyDescent="0.2">
      <c r="A43" s="158">
        <f t="shared" si="1"/>
        <v>14</v>
      </c>
      <c r="B43" s="156" t="s">
        <v>124</v>
      </c>
      <c r="C43" s="160">
        <v>1</v>
      </c>
      <c r="D43" s="159" t="s">
        <v>77</v>
      </c>
      <c r="E43" s="162"/>
      <c r="F43" s="181">
        <v>800000</v>
      </c>
      <c r="G43" s="181">
        <f t="shared" si="0"/>
        <v>800000</v>
      </c>
    </row>
    <row r="44" spans="1:7" x14ac:dyDescent="0.2">
      <c r="A44" s="158">
        <f t="shared" si="1"/>
        <v>15</v>
      </c>
      <c r="B44" s="161" t="s">
        <v>125</v>
      </c>
      <c r="C44" s="160">
        <v>5000</v>
      </c>
      <c r="D44" s="159" t="s">
        <v>77</v>
      </c>
      <c r="E44" s="162"/>
      <c r="F44" s="181">
        <v>5400</v>
      </c>
      <c r="G44" s="181">
        <f t="shared" si="0"/>
        <v>27000000</v>
      </c>
    </row>
    <row r="45" spans="1:7" x14ac:dyDescent="0.2">
      <c r="A45" s="158">
        <f t="shared" si="1"/>
        <v>16</v>
      </c>
      <c r="B45" s="161" t="s">
        <v>126</v>
      </c>
      <c r="C45" s="151">
        <v>1</v>
      </c>
      <c r="D45" s="159" t="s">
        <v>77</v>
      </c>
      <c r="E45" s="162"/>
      <c r="F45" s="181">
        <v>775000</v>
      </c>
      <c r="G45" s="181">
        <f t="shared" si="0"/>
        <v>775000</v>
      </c>
    </row>
    <row r="46" spans="1:7" x14ac:dyDescent="0.2">
      <c r="A46" s="158">
        <f t="shared" si="1"/>
        <v>17</v>
      </c>
      <c r="B46" s="161" t="s">
        <v>134</v>
      </c>
      <c r="C46" s="160">
        <v>5000</v>
      </c>
      <c r="D46" s="159" t="s">
        <v>77</v>
      </c>
      <c r="E46" s="162"/>
      <c r="F46" s="181">
        <v>4000</v>
      </c>
      <c r="G46" s="181">
        <f t="shared" si="0"/>
        <v>20000000</v>
      </c>
    </row>
    <row r="47" spans="1:7" x14ac:dyDescent="0.2">
      <c r="A47" s="158">
        <f t="shared" si="1"/>
        <v>18</v>
      </c>
      <c r="B47" s="156" t="s">
        <v>83</v>
      </c>
      <c r="C47" s="151">
        <v>5</v>
      </c>
      <c r="D47" s="159" t="s">
        <v>77</v>
      </c>
      <c r="E47" s="162"/>
      <c r="F47" s="181">
        <v>650000</v>
      </c>
      <c r="G47" s="181">
        <f t="shared" si="0"/>
        <v>3250000</v>
      </c>
    </row>
    <row r="48" spans="1:7" ht="25.5" x14ac:dyDescent="0.2">
      <c r="A48" s="158">
        <f t="shared" si="1"/>
        <v>19</v>
      </c>
      <c r="B48" s="156" t="s">
        <v>135</v>
      </c>
      <c r="C48" s="148">
        <v>40</v>
      </c>
      <c r="D48" s="159" t="s">
        <v>77</v>
      </c>
      <c r="E48" s="162" t="s">
        <v>156</v>
      </c>
      <c r="F48" s="181">
        <v>290000</v>
      </c>
      <c r="G48" s="181">
        <f t="shared" si="0"/>
        <v>11600000</v>
      </c>
    </row>
    <row r="49" spans="1:7" x14ac:dyDescent="0.2">
      <c r="A49" s="158">
        <f t="shared" si="1"/>
        <v>20</v>
      </c>
      <c r="B49" s="156" t="s">
        <v>84</v>
      </c>
      <c r="C49" s="151">
        <v>1</v>
      </c>
      <c r="D49" s="159" t="s">
        <v>77</v>
      </c>
      <c r="E49" s="162"/>
      <c r="F49" s="181">
        <v>650000</v>
      </c>
      <c r="G49" s="181">
        <f t="shared" si="0"/>
        <v>650000</v>
      </c>
    </row>
    <row r="50" spans="1:7" ht="25.5" x14ac:dyDescent="0.2">
      <c r="A50" s="158">
        <f t="shared" si="1"/>
        <v>21</v>
      </c>
      <c r="B50" s="156" t="s">
        <v>85</v>
      </c>
      <c r="C50" s="151">
        <v>2</v>
      </c>
      <c r="D50" s="159" t="s">
        <v>77</v>
      </c>
      <c r="E50" s="162" t="s">
        <v>156</v>
      </c>
      <c r="F50" s="181">
        <v>390000</v>
      </c>
      <c r="G50" s="181">
        <f t="shared" si="0"/>
        <v>780000</v>
      </c>
    </row>
    <row r="51" spans="1:7" x14ac:dyDescent="0.2">
      <c r="A51" s="158">
        <f t="shared" si="1"/>
        <v>22</v>
      </c>
      <c r="B51" s="156" t="s">
        <v>86</v>
      </c>
      <c r="C51" s="151">
        <v>1</v>
      </c>
      <c r="D51" s="159" t="s">
        <v>77</v>
      </c>
      <c r="E51" s="162"/>
      <c r="F51" s="181">
        <v>730000</v>
      </c>
      <c r="G51" s="181">
        <f t="shared" si="0"/>
        <v>730000</v>
      </c>
    </row>
    <row r="52" spans="1:7" ht="38.25" x14ac:dyDescent="0.2">
      <c r="A52" s="158">
        <f t="shared" si="1"/>
        <v>23</v>
      </c>
      <c r="B52" s="156" t="s">
        <v>87</v>
      </c>
      <c r="C52" s="151">
        <v>1</v>
      </c>
      <c r="D52" s="159" t="s">
        <v>77</v>
      </c>
      <c r="E52" s="162" t="s">
        <v>157</v>
      </c>
      <c r="F52" s="181">
        <v>280000</v>
      </c>
      <c r="G52" s="181">
        <f t="shared" si="0"/>
        <v>280000</v>
      </c>
    </row>
    <row r="53" spans="1:7" x14ac:dyDescent="0.2">
      <c r="A53" s="158">
        <f t="shared" si="1"/>
        <v>24</v>
      </c>
      <c r="B53" s="156" t="s">
        <v>88</v>
      </c>
      <c r="C53" s="151">
        <v>1</v>
      </c>
      <c r="D53" s="159" t="s">
        <v>77</v>
      </c>
      <c r="E53" s="162"/>
      <c r="F53" s="181">
        <v>730000</v>
      </c>
      <c r="G53" s="181">
        <f t="shared" si="0"/>
        <v>730000</v>
      </c>
    </row>
    <row r="54" spans="1:7" ht="38.25" x14ac:dyDescent="0.2">
      <c r="A54" s="158">
        <f t="shared" si="1"/>
        <v>25</v>
      </c>
      <c r="B54" s="156" t="s">
        <v>89</v>
      </c>
      <c r="C54" s="151">
        <v>2</v>
      </c>
      <c r="D54" s="159" t="s">
        <v>77</v>
      </c>
      <c r="E54" s="162" t="s">
        <v>157</v>
      </c>
      <c r="F54" s="181">
        <v>540000</v>
      </c>
      <c r="G54" s="181">
        <f t="shared" si="0"/>
        <v>1080000</v>
      </c>
    </row>
    <row r="55" spans="1:7" x14ac:dyDescent="0.2">
      <c r="A55" s="158">
        <f>+A54+1</f>
        <v>26</v>
      </c>
      <c r="B55" s="156" t="s">
        <v>90</v>
      </c>
      <c r="C55" s="151">
        <v>1</v>
      </c>
      <c r="D55" s="159" t="s">
        <v>77</v>
      </c>
      <c r="E55" s="162"/>
      <c r="F55" s="181">
        <v>790000</v>
      </c>
      <c r="G55" s="181">
        <f t="shared" si="0"/>
        <v>790000</v>
      </c>
    </row>
    <row r="56" spans="1:7" ht="38.25" x14ac:dyDescent="0.2">
      <c r="A56" s="158">
        <f t="shared" si="1"/>
        <v>27</v>
      </c>
      <c r="B56" s="156" t="s">
        <v>91</v>
      </c>
      <c r="C56" s="151">
        <v>2</v>
      </c>
      <c r="D56" s="159" t="s">
        <v>77</v>
      </c>
      <c r="E56" s="162" t="s">
        <v>157</v>
      </c>
      <c r="F56" s="181" t="s">
        <v>190</v>
      </c>
      <c r="G56" s="181" t="s">
        <v>190</v>
      </c>
    </row>
    <row r="57" spans="1:7" x14ac:dyDescent="0.2">
      <c r="A57" s="158">
        <f t="shared" si="1"/>
        <v>28</v>
      </c>
      <c r="B57" s="156" t="s">
        <v>92</v>
      </c>
      <c r="C57" s="151">
        <v>1</v>
      </c>
      <c r="D57" s="159" t="s">
        <v>77</v>
      </c>
      <c r="E57" s="162"/>
      <c r="F57" s="181">
        <v>920000</v>
      </c>
      <c r="G57" s="181">
        <f t="shared" si="0"/>
        <v>920000</v>
      </c>
    </row>
    <row r="58" spans="1:7" ht="38.25" x14ac:dyDescent="0.2">
      <c r="A58" s="158">
        <f t="shared" si="1"/>
        <v>29</v>
      </c>
      <c r="B58" s="156" t="s">
        <v>93</v>
      </c>
      <c r="C58" s="151">
        <v>1</v>
      </c>
      <c r="D58" s="159" t="s">
        <v>77</v>
      </c>
      <c r="E58" s="162" t="s">
        <v>157</v>
      </c>
      <c r="F58" s="181" t="s">
        <v>190</v>
      </c>
      <c r="G58" s="181" t="s">
        <v>190</v>
      </c>
    </row>
    <row r="59" spans="1:7" x14ac:dyDescent="0.2">
      <c r="A59" s="158">
        <f t="shared" si="1"/>
        <v>30</v>
      </c>
      <c r="B59" s="156" t="s">
        <v>94</v>
      </c>
      <c r="C59" s="151">
        <v>1</v>
      </c>
      <c r="D59" s="159" t="s">
        <v>77</v>
      </c>
      <c r="E59" s="162"/>
      <c r="F59" s="181">
        <v>920000</v>
      </c>
      <c r="G59" s="181">
        <f t="shared" si="0"/>
        <v>920000</v>
      </c>
    </row>
    <row r="60" spans="1:7" ht="38.25" x14ac:dyDescent="0.2">
      <c r="A60" s="158">
        <f t="shared" si="1"/>
        <v>31</v>
      </c>
      <c r="B60" s="156" t="s">
        <v>95</v>
      </c>
      <c r="C60" s="151">
        <v>1</v>
      </c>
      <c r="D60" s="159" t="s">
        <v>77</v>
      </c>
      <c r="E60" s="162" t="s">
        <v>157</v>
      </c>
      <c r="F60" s="181" t="s">
        <v>190</v>
      </c>
      <c r="G60" s="181" t="s">
        <v>190</v>
      </c>
    </row>
    <row r="61" spans="1:7" hidden="1" x14ac:dyDescent="0.2">
      <c r="A61" s="158">
        <f t="shared" si="1"/>
        <v>32</v>
      </c>
      <c r="B61" s="156" t="s">
        <v>96</v>
      </c>
      <c r="C61" s="151">
        <v>1</v>
      </c>
      <c r="D61" s="159" t="s">
        <v>77</v>
      </c>
      <c r="E61" s="162"/>
      <c r="F61" s="181"/>
      <c r="G61" s="181">
        <f t="shared" si="0"/>
        <v>0</v>
      </c>
    </row>
    <row r="62" spans="1:7" hidden="1" x14ac:dyDescent="0.2">
      <c r="A62" s="158">
        <f t="shared" si="1"/>
        <v>33</v>
      </c>
      <c r="B62" s="156" t="s">
        <v>97</v>
      </c>
      <c r="C62" s="151">
        <v>1</v>
      </c>
      <c r="D62" s="159" t="s">
        <v>77</v>
      </c>
      <c r="E62" s="162"/>
      <c r="F62" s="181"/>
      <c r="G62" s="181">
        <f t="shared" si="0"/>
        <v>0</v>
      </c>
    </row>
    <row r="63" spans="1:7" hidden="1" x14ac:dyDescent="0.2">
      <c r="A63" s="158">
        <f t="shared" si="1"/>
        <v>34</v>
      </c>
      <c r="B63" s="156" t="s">
        <v>98</v>
      </c>
      <c r="C63" s="151">
        <v>1</v>
      </c>
      <c r="D63" s="159" t="s">
        <v>77</v>
      </c>
      <c r="E63" s="162"/>
      <c r="F63" s="181"/>
      <c r="G63" s="181">
        <f t="shared" si="0"/>
        <v>0</v>
      </c>
    </row>
    <row r="64" spans="1:7" hidden="1" x14ac:dyDescent="0.2">
      <c r="A64" s="158">
        <f t="shared" si="1"/>
        <v>35</v>
      </c>
      <c r="B64" s="156" t="s">
        <v>99</v>
      </c>
      <c r="C64" s="151">
        <v>1</v>
      </c>
      <c r="D64" s="159" t="s">
        <v>77</v>
      </c>
      <c r="E64" s="162"/>
      <c r="F64" s="181"/>
      <c r="G64" s="181">
        <f t="shared" si="0"/>
        <v>0</v>
      </c>
    </row>
    <row r="65" spans="1:7" hidden="1" x14ac:dyDescent="0.2">
      <c r="A65" s="158">
        <f t="shared" si="1"/>
        <v>36</v>
      </c>
      <c r="B65" s="156" t="s">
        <v>100</v>
      </c>
      <c r="C65" s="151">
        <v>1</v>
      </c>
      <c r="D65" s="154" t="s">
        <v>77</v>
      </c>
      <c r="E65" s="162"/>
      <c r="F65" s="181"/>
      <c r="G65" s="181">
        <f t="shared" si="0"/>
        <v>0</v>
      </c>
    </row>
    <row r="66" spans="1:7" x14ac:dyDescent="0.2">
      <c r="A66" s="158">
        <f t="shared" si="1"/>
        <v>37</v>
      </c>
      <c r="B66" s="156" t="s">
        <v>155</v>
      </c>
      <c r="C66" s="151">
        <v>5000</v>
      </c>
      <c r="D66" s="159"/>
      <c r="E66" s="162"/>
      <c r="F66" s="181">
        <v>3200</v>
      </c>
      <c r="G66" s="181">
        <f t="shared" si="0"/>
        <v>16000000</v>
      </c>
    </row>
    <row r="67" spans="1:7" ht="14.25" customHeight="1" x14ac:dyDescent="0.2">
      <c r="A67" s="143"/>
      <c r="B67" s="551" t="s">
        <v>178</v>
      </c>
      <c r="C67" s="552"/>
      <c r="D67" s="552"/>
      <c r="E67" s="552"/>
      <c r="F67" s="552"/>
      <c r="G67" s="553"/>
    </row>
    <row r="68" spans="1:7" x14ac:dyDescent="0.2">
      <c r="A68" s="158">
        <v>1</v>
      </c>
      <c r="B68" s="156" t="s">
        <v>163</v>
      </c>
      <c r="C68" s="160"/>
      <c r="D68" s="159"/>
      <c r="E68" s="162"/>
      <c r="F68" s="181">
        <v>1200000</v>
      </c>
      <c r="G68" s="181">
        <v>1200000</v>
      </c>
    </row>
    <row r="69" spans="1:7" x14ac:dyDescent="0.2">
      <c r="A69" s="158">
        <v>2</v>
      </c>
      <c r="B69" s="156" t="s">
        <v>164</v>
      </c>
      <c r="C69" s="160">
        <v>58500</v>
      </c>
      <c r="D69" s="159" t="s">
        <v>77</v>
      </c>
      <c r="E69" s="162"/>
      <c r="F69" s="181">
        <v>270</v>
      </c>
      <c r="G69" s="181">
        <f t="shared" si="0"/>
        <v>15795000</v>
      </c>
    </row>
    <row r="70" spans="1:7" ht="27.75" customHeight="1" x14ac:dyDescent="0.2">
      <c r="A70" s="158">
        <v>5</v>
      </c>
      <c r="B70" s="156" t="s">
        <v>167</v>
      </c>
      <c r="C70" s="160"/>
      <c r="D70" s="159"/>
      <c r="E70" s="162"/>
      <c r="F70" s="181">
        <v>2500000</v>
      </c>
      <c r="G70" s="181">
        <v>2500000</v>
      </c>
    </row>
    <row r="71" spans="1:7" ht="30" customHeight="1" x14ac:dyDescent="0.2">
      <c r="A71" s="158">
        <v>6</v>
      </c>
      <c r="B71" s="156" t="s">
        <v>168</v>
      </c>
      <c r="C71" s="160">
        <v>29250</v>
      </c>
      <c r="D71" s="159" t="s">
        <v>77</v>
      </c>
      <c r="E71" s="162"/>
      <c r="F71" s="181">
        <v>2800</v>
      </c>
      <c r="G71" s="181">
        <f t="shared" si="0"/>
        <v>81900000</v>
      </c>
    </row>
    <row r="72" spans="1:7" ht="14.25" customHeight="1" x14ac:dyDescent="0.2">
      <c r="A72" s="143"/>
      <c r="B72" s="142" t="s">
        <v>179</v>
      </c>
      <c r="C72" s="144"/>
      <c r="D72" s="142"/>
      <c r="E72" s="145"/>
      <c r="F72" s="180"/>
      <c r="G72" s="180"/>
    </row>
    <row r="73" spans="1:7" x14ac:dyDescent="0.2">
      <c r="A73" s="158" t="s">
        <v>180</v>
      </c>
      <c r="B73" s="156" t="s">
        <v>143</v>
      </c>
      <c r="C73" s="151">
        <v>1</v>
      </c>
      <c r="D73" s="159" t="s">
        <v>106</v>
      </c>
      <c r="E73" s="162" t="s">
        <v>130</v>
      </c>
      <c r="F73" s="181">
        <v>3200000</v>
      </c>
      <c r="G73" s="181">
        <f t="shared" ref="G73:G75" si="2">+F73*C73</f>
        <v>3200000</v>
      </c>
    </row>
    <row r="74" spans="1:7" x14ac:dyDescent="0.2">
      <c r="A74" s="158" t="s">
        <v>181</v>
      </c>
      <c r="B74" s="156" t="s">
        <v>118</v>
      </c>
      <c r="C74" s="151">
        <v>1</v>
      </c>
      <c r="D74" s="159" t="s">
        <v>119</v>
      </c>
      <c r="E74" s="163" t="s">
        <v>109</v>
      </c>
      <c r="F74" s="181">
        <v>23200000</v>
      </c>
      <c r="G74" s="181">
        <f t="shared" si="2"/>
        <v>23200000</v>
      </c>
    </row>
    <row r="75" spans="1:7" ht="42" customHeight="1" x14ac:dyDescent="0.2">
      <c r="A75" s="158" t="s">
        <v>182</v>
      </c>
      <c r="B75" s="156" t="s">
        <v>120</v>
      </c>
      <c r="C75" s="160">
        <v>4000</v>
      </c>
      <c r="D75" s="159" t="s">
        <v>108</v>
      </c>
      <c r="E75" s="164" t="s">
        <v>158</v>
      </c>
      <c r="F75" s="181">
        <v>900</v>
      </c>
      <c r="G75" s="181">
        <f t="shared" si="2"/>
        <v>3600000</v>
      </c>
    </row>
    <row r="76" spans="1:7" ht="25.5" hidden="1" x14ac:dyDescent="0.2">
      <c r="A76" s="143"/>
      <c r="B76" s="165" t="s">
        <v>121</v>
      </c>
      <c r="C76" s="144"/>
      <c r="D76" s="142"/>
      <c r="E76" s="145"/>
      <c r="F76" s="180"/>
      <c r="G76" s="180"/>
    </row>
    <row r="77" spans="1:7" hidden="1" x14ac:dyDescent="0.2">
      <c r="A77" s="158"/>
      <c r="B77" s="156" t="s">
        <v>122</v>
      </c>
      <c r="C77" s="151"/>
      <c r="D77" s="159"/>
      <c r="E77" s="162"/>
      <c r="F77" s="181"/>
      <c r="G77" s="181"/>
    </row>
    <row r="78" spans="1:7" x14ac:dyDescent="0.2">
      <c r="A78" s="143"/>
      <c r="B78" s="165" t="s">
        <v>183</v>
      </c>
      <c r="C78" s="144"/>
      <c r="D78" s="142"/>
      <c r="E78" s="145"/>
      <c r="F78" s="180"/>
      <c r="G78" s="180"/>
    </row>
    <row r="79" spans="1:7" ht="38.25" x14ac:dyDescent="0.2">
      <c r="A79" s="146" t="s">
        <v>184</v>
      </c>
      <c r="B79" s="147" t="s">
        <v>162</v>
      </c>
      <c r="C79" s="148">
        <v>1</v>
      </c>
      <c r="D79" s="166" t="s">
        <v>77</v>
      </c>
      <c r="E79" s="163" t="s">
        <v>169</v>
      </c>
      <c r="F79" s="184">
        <v>100000000</v>
      </c>
      <c r="G79" s="181">
        <v>100000000</v>
      </c>
    </row>
    <row r="80" spans="1:7" x14ac:dyDescent="0.2">
      <c r="A80" s="167"/>
      <c r="B80" s="168" t="s">
        <v>185</v>
      </c>
      <c r="C80" s="169"/>
      <c r="D80" s="168"/>
      <c r="E80" s="170"/>
      <c r="F80" s="180"/>
      <c r="G80" s="180"/>
    </row>
    <row r="81" spans="1:8" ht="169.5" customHeight="1" x14ac:dyDescent="0.2">
      <c r="A81" s="146">
        <v>2.6</v>
      </c>
      <c r="B81" s="156" t="s">
        <v>103</v>
      </c>
      <c r="C81" s="151">
        <v>10</v>
      </c>
      <c r="D81" s="154" t="s">
        <v>105</v>
      </c>
      <c r="E81" s="149" t="s">
        <v>104</v>
      </c>
      <c r="F81" s="184">
        <v>35000000</v>
      </c>
      <c r="G81" s="181">
        <f>C81*F81</f>
        <v>350000000</v>
      </c>
      <c r="H81" s="171"/>
    </row>
  </sheetData>
  <mergeCells count="5">
    <mergeCell ref="A8:G8"/>
    <mergeCell ref="A9:B9"/>
    <mergeCell ref="A23:A25"/>
    <mergeCell ref="B23:B25"/>
    <mergeCell ref="B67:G67"/>
  </mergeCells>
  <pageMargins left="0.70866141732283472" right="0.70866141732283472" top="0.74803149606299213" bottom="0.74803149606299213" header="0.31496062992125984" footer="0.31496062992125984"/>
  <pageSetup scale="57" orientation="landscape"/>
  <rowBreaks count="2" manualBreakCount="2">
    <brk id="42" max="6" man="1"/>
    <brk id="77" max="6"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84"/>
  <sheetViews>
    <sheetView view="pageBreakPreview" zoomScaleNormal="40" zoomScaleSheetLayoutView="100" zoomScalePageLayoutView="125" workbookViewId="0">
      <pane xSplit="2" ySplit="11" topLeftCell="H24" activePane="bottomRight" state="frozen"/>
      <selection activeCell="B66" sqref="B66"/>
      <selection pane="topRight" activeCell="B66" sqref="B66"/>
      <selection pane="bottomLeft" activeCell="B66" sqref="B66"/>
      <selection pane="bottomRight" activeCell="B66" sqref="B66"/>
    </sheetView>
  </sheetViews>
  <sheetFormatPr baseColWidth="10" defaultColWidth="10.85546875" defaultRowHeight="12.75" x14ac:dyDescent="0.2"/>
  <cols>
    <col min="1" max="1" width="7.42578125" style="172" bestFit="1" customWidth="1"/>
    <col min="2" max="2" width="83" style="173" customWidth="1"/>
    <col min="3" max="3" width="14.140625" style="174" customWidth="1"/>
    <col min="4" max="4" width="16.140625" style="174" customWidth="1"/>
    <col min="5" max="5" width="15.7109375" style="178" hidden="1" customWidth="1"/>
    <col min="6" max="6" width="20.28515625" style="178" hidden="1" customWidth="1"/>
    <col min="7" max="7" width="16" style="215" customWidth="1"/>
    <col min="8" max="11" width="14.85546875" style="215" bestFit="1" customWidth="1"/>
    <col min="12" max="12" width="15.85546875" style="318" bestFit="1" customWidth="1"/>
    <col min="13" max="13" width="15.85546875" style="137" bestFit="1" customWidth="1"/>
    <col min="14" max="14" width="15.5703125" style="319" customWidth="1"/>
    <col min="15" max="15" width="13.42578125" style="137" bestFit="1" customWidth="1"/>
    <col min="16" max="16" width="11.5703125" style="137" bestFit="1" customWidth="1"/>
    <col min="17" max="16384" width="10.85546875" style="137"/>
  </cols>
  <sheetData>
    <row r="1" spans="1:15" x14ac:dyDescent="0.2">
      <c r="B1" s="213"/>
    </row>
    <row r="2" spans="1:15" hidden="1" x14ac:dyDescent="0.2">
      <c r="B2" s="213" t="s">
        <v>192</v>
      </c>
    </row>
    <row r="3" spans="1:15" hidden="1" x14ac:dyDescent="0.2">
      <c r="B3" s="213" t="s">
        <v>194</v>
      </c>
    </row>
    <row r="4" spans="1:15" hidden="1" x14ac:dyDescent="0.2">
      <c r="B4" s="214" t="s">
        <v>161</v>
      </c>
    </row>
    <row r="5" spans="1:15" hidden="1" x14ac:dyDescent="0.2">
      <c r="B5" s="213" t="s">
        <v>160</v>
      </c>
    </row>
    <row r="6" spans="1:15" hidden="1" x14ac:dyDescent="0.2">
      <c r="B6" s="213" t="s">
        <v>193</v>
      </c>
    </row>
    <row r="8" spans="1:15" ht="15" customHeight="1" x14ac:dyDescent="0.2">
      <c r="A8" s="542" t="s">
        <v>259</v>
      </c>
      <c r="B8" s="543"/>
      <c r="C8" s="543"/>
      <c r="D8" s="543"/>
      <c r="E8" s="543"/>
      <c r="F8" s="543"/>
      <c r="G8" s="543"/>
      <c r="H8" s="543"/>
      <c r="I8" s="543"/>
      <c r="J8" s="543"/>
      <c r="K8" s="543"/>
      <c r="L8" s="320"/>
      <c r="M8" s="227"/>
      <c r="N8" s="240"/>
      <c r="O8" s="227"/>
    </row>
    <row r="9" spans="1:15" ht="25.5" x14ac:dyDescent="0.2">
      <c r="A9" s="538" t="s">
        <v>62</v>
      </c>
      <c r="B9" s="538"/>
      <c r="C9" s="264" t="s">
        <v>63</v>
      </c>
      <c r="D9" s="264" t="s">
        <v>64</v>
      </c>
      <c r="E9" s="273" t="s">
        <v>101</v>
      </c>
      <c r="F9" s="273" t="s">
        <v>61</v>
      </c>
      <c r="G9" s="274" t="s">
        <v>218</v>
      </c>
      <c r="H9" s="274" t="s">
        <v>232</v>
      </c>
      <c r="I9" s="274" t="s">
        <v>232</v>
      </c>
      <c r="J9" s="274"/>
      <c r="K9" s="321"/>
      <c r="L9" s="320"/>
      <c r="M9" s="227"/>
      <c r="N9" s="240"/>
      <c r="O9" s="227"/>
    </row>
    <row r="10" spans="1:15" x14ac:dyDescent="0.2">
      <c r="A10" s="275"/>
      <c r="B10" s="272" t="s">
        <v>117</v>
      </c>
      <c r="C10" s="264"/>
      <c r="D10" s="264"/>
      <c r="E10" s="273"/>
      <c r="F10" s="273"/>
      <c r="G10" s="274"/>
      <c r="H10" s="274"/>
      <c r="I10" s="274"/>
      <c r="J10" s="274"/>
      <c r="K10" s="321"/>
      <c r="L10" s="320"/>
      <c r="M10" s="227"/>
      <c r="N10" s="240"/>
      <c r="O10" s="227"/>
    </row>
    <row r="11" spans="1:15" ht="40.5" customHeight="1" x14ac:dyDescent="0.2">
      <c r="A11" s="276" t="s">
        <v>129</v>
      </c>
      <c r="B11" s="272" t="s">
        <v>170</v>
      </c>
      <c r="C11" s="272"/>
      <c r="D11" s="272"/>
      <c r="E11" s="273"/>
      <c r="F11" s="273"/>
      <c r="G11" s="277" t="s">
        <v>101</v>
      </c>
      <c r="H11" s="277" t="s">
        <v>101</v>
      </c>
      <c r="I11" s="277" t="s">
        <v>101</v>
      </c>
      <c r="J11" s="278" t="s">
        <v>251</v>
      </c>
      <c r="K11" s="322" t="s">
        <v>225</v>
      </c>
      <c r="L11" s="202" t="s">
        <v>297</v>
      </c>
      <c r="M11" s="199" t="s">
        <v>298</v>
      </c>
      <c r="N11" s="323" t="s">
        <v>299</v>
      </c>
      <c r="O11" s="199" t="s">
        <v>298</v>
      </c>
    </row>
    <row r="12" spans="1:15" x14ac:dyDescent="0.2">
      <c r="A12" s="158">
        <v>1</v>
      </c>
      <c r="B12" s="147" t="s">
        <v>127</v>
      </c>
      <c r="C12" s="254">
        <v>3</v>
      </c>
      <c r="D12" s="148" t="s">
        <v>111</v>
      </c>
      <c r="E12" s="181">
        <v>29700000</v>
      </c>
      <c r="F12" s="181">
        <f t="shared" ref="F12:F20" si="0">+E12*C12</f>
        <v>89100000</v>
      </c>
      <c r="G12" s="217">
        <f>+[4]C01!F12</f>
        <v>29700000</v>
      </c>
      <c r="H12" s="217">
        <f>+[4]CO3!F12</f>
        <v>34800000</v>
      </c>
      <c r="I12" s="217">
        <f>+[4]CO4!F12</f>
        <v>14000000</v>
      </c>
      <c r="J12" s="217">
        <f>+GEOMEAN(G12:I12)</f>
        <v>24368076.139932506</v>
      </c>
      <c r="K12" s="324">
        <f t="shared" ref="K12:K64" si="1">+J12*C12</f>
        <v>73104228.41979751</v>
      </c>
      <c r="L12" s="320"/>
      <c r="M12" s="227"/>
      <c r="N12" s="240"/>
      <c r="O12" s="227"/>
    </row>
    <row r="13" spans="1:15" x14ac:dyDescent="0.2">
      <c r="A13" s="158">
        <v>2</v>
      </c>
      <c r="B13" s="147" t="s">
        <v>128</v>
      </c>
      <c r="C13" s="254">
        <v>4</v>
      </c>
      <c r="D13" s="148" t="s">
        <v>111</v>
      </c>
      <c r="E13" s="181">
        <v>29400000</v>
      </c>
      <c r="F13" s="181">
        <f t="shared" si="0"/>
        <v>117600000</v>
      </c>
      <c r="G13" s="217">
        <f>+[4]C01!F13</f>
        <v>29400000</v>
      </c>
      <c r="H13" s="217">
        <f>+[4]CO3!F13</f>
        <v>31320000</v>
      </c>
      <c r="I13" s="217">
        <f>+[4]CO4!F13</f>
        <v>12600000</v>
      </c>
      <c r="J13" s="217">
        <f>+GEOMEAN(G13:I13)</f>
        <v>22638442.417202462</v>
      </c>
      <c r="K13" s="324">
        <f t="shared" si="1"/>
        <v>90553769.668809846</v>
      </c>
      <c r="L13" s="320"/>
      <c r="M13" s="227"/>
      <c r="N13" s="240"/>
      <c r="O13" s="227"/>
    </row>
    <row r="14" spans="1:15" x14ac:dyDescent="0.2">
      <c r="A14" s="158">
        <v>3</v>
      </c>
      <c r="B14" s="147" t="s">
        <v>186</v>
      </c>
      <c r="C14" s="254">
        <v>5</v>
      </c>
      <c r="D14" s="148" t="s">
        <v>110</v>
      </c>
      <c r="E14" s="181">
        <v>7300000</v>
      </c>
      <c r="F14" s="181">
        <f t="shared" si="0"/>
        <v>36500000</v>
      </c>
      <c r="G14" s="217">
        <f>+[4]C01!F14</f>
        <v>7300000</v>
      </c>
      <c r="H14" s="217">
        <f>+[4]CO3!F14</f>
        <v>7888000</v>
      </c>
      <c r="I14" s="217">
        <f>+[4]CO4!F14</f>
        <v>15400000</v>
      </c>
      <c r="J14" s="217">
        <f>+GEOMEAN(G14:I14)</f>
        <v>9607347.3844851907</v>
      </c>
      <c r="K14" s="324">
        <f t="shared" si="1"/>
        <v>48036736.922425956</v>
      </c>
      <c r="L14" s="320"/>
      <c r="M14" s="227"/>
      <c r="N14" s="240"/>
      <c r="O14" s="227"/>
    </row>
    <row r="15" spans="1:15" x14ac:dyDescent="0.2">
      <c r="A15" s="158">
        <v>4</v>
      </c>
      <c r="B15" s="147" t="s">
        <v>187</v>
      </c>
      <c r="C15" s="254">
        <v>5</v>
      </c>
      <c r="D15" s="148" t="s">
        <v>110</v>
      </c>
      <c r="E15" s="181">
        <v>5400000</v>
      </c>
      <c r="F15" s="181">
        <f t="shared" si="0"/>
        <v>27000000</v>
      </c>
      <c r="G15" s="217">
        <f>+[4]C01!F15</f>
        <v>5400000</v>
      </c>
      <c r="H15" s="217">
        <f>+[4]CO3!F15</f>
        <v>9280000</v>
      </c>
      <c r="I15" s="217">
        <f>+[4]CO4!F15</f>
        <v>18200000</v>
      </c>
      <c r="J15" s="217">
        <f>+GEOMEAN(G15:I15)</f>
        <v>9697751.2766491342</v>
      </c>
      <c r="K15" s="324">
        <f t="shared" si="1"/>
        <v>48488756.383245669</v>
      </c>
      <c r="L15" s="320"/>
      <c r="M15" s="227"/>
      <c r="N15" s="240"/>
      <c r="O15" s="227"/>
    </row>
    <row r="16" spans="1:15" x14ac:dyDescent="0.2">
      <c r="A16" s="158">
        <v>5</v>
      </c>
      <c r="B16" s="147" t="s">
        <v>113</v>
      </c>
      <c r="C16" s="254">
        <v>4</v>
      </c>
      <c r="D16" s="148" t="s">
        <v>114</v>
      </c>
      <c r="E16" s="181">
        <v>21000000</v>
      </c>
      <c r="F16" s="181">
        <f t="shared" si="0"/>
        <v>84000000</v>
      </c>
      <c r="G16" s="217">
        <f>+[4]C01!F16</f>
        <v>21000000</v>
      </c>
      <c r="H16" s="217">
        <f>+[4]CO3!F16</f>
        <v>87000000</v>
      </c>
      <c r="I16" s="217">
        <f>+[4]CO4!F16</f>
        <v>23800000</v>
      </c>
      <c r="J16" s="217">
        <f t="shared" ref="J16:J74" si="2">+GEOMEAN(G16:I16)</f>
        <v>35164558.421514258</v>
      </c>
      <c r="K16" s="324">
        <f t="shared" si="1"/>
        <v>140658233.68605703</v>
      </c>
      <c r="L16" s="320"/>
      <c r="M16" s="227"/>
      <c r="N16" s="240"/>
      <c r="O16" s="227"/>
    </row>
    <row r="17" spans="1:15" x14ac:dyDescent="0.2">
      <c r="A17" s="158">
        <v>6</v>
      </c>
      <c r="B17" s="147" t="s">
        <v>107</v>
      </c>
      <c r="C17" s="255">
        <v>8</v>
      </c>
      <c r="D17" s="148" t="s">
        <v>123</v>
      </c>
      <c r="E17" s="181">
        <v>14500000</v>
      </c>
      <c r="F17" s="181">
        <f t="shared" si="0"/>
        <v>116000000</v>
      </c>
      <c r="G17" s="217">
        <f>+[4]C01!F17</f>
        <v>14500000</v>
      </c>
      <c r="H17" s="217">
        <f>+[4]CO3!F17</f>
        <v>29000000</v>
      </c>
      <c r="I17" s="217">
        <f>+[4]CO4!F17</f>
        <v>26600000</v>
      </c>
      <c r="J17" s="217">
        <f t="shared" si="2"/>
        <v>22363986.027778238</v>
      </c>
      <c r="K17" s="324">
        <f t="shared" si="1"/>
        <v>178911888.2222259</v>
      </c>
      <c r="L17" s="320"/>
      <c r="M17" s="227"/>
      <c r="N17" s="240"/>
      <c r="O17" s="227"/>
    </row>
    <row r="18" spans="1:15" x14ac:dyDescent="0.2">
      <c r="A18" s="158">
        <v>7</v>
      </c>
      <c r="B18" s="147" t="s">
        <v>151</v>
      </c>
      <c r="C18" s="254">
        <v>3</v>
      </c>
      <c r="D18" s="148" t="s">
        <v>252</v>
      </c>
      <c r="E18" s="181">
        <v>15400000</v>
      </c>
      <c r="F18" s="181">
        <f t="shared" si="0"/>
        <v>46200000</v>
      </c>
      <c r="G18" s="217">
        <f>+[4]C01!F18</f>
        <v>15400000</v>
      </c>
      <c r="H18" s="217">
        <f>+[4]CO3!F18</f>
        <v>17400000</v>
      </c>
      <c r="I18" s="217">
        <f>+[4]CO4!F18</f>
        <v>4384800</v>
      </c>
      <c r="J18" s="217">
        <f t="shared" si="2"/>
        <v>10552124.810303425</v>
      </c>
      <c r="K18" s="324">
        <f t="shared" si="1"/>
        <v>31656374.430910274</v>
      </c>
      <c r="L18" s="320"/>
      <c r="M18" s="227"/>
      <c r="N18" s="240"/>
      <c r="O18" s="227"/>
    </row>
    <row r="19" spans="1:15" ht="13.5" thickBot="1" x14ac:dyDescent="0.25">
      <c r="A19" s="158">
        <v>8</v>
      </c>
      <c r="B19" s="147" t="s">
        <v>176</v>
      </c>
      <c r="C19" s="254">
        <v>4</v>
      </c>
      <c r="D19" s="148" t="s">
        <v>252</v>
      </c>
      <c r="E19" s="181">
        <v>21000000</v>
      </c>
      <c r="F19" s="181">
        <f t="shared" si="0"/>
        <v>84000000</v>
      </c>
      <c r="G19" s="217">
        <f>+[4]C01!F19</f>
        <v>21000000</v>
      </c>
      <c r="H19" s="217">
        <f>+[4]CO3!F19</f>
        <v>14160000</v>
      </c>
      <c r="I19" s="217">
        <f>+[4]CO4!F19</f>
        <v>8769600</v>
      </c>
      <c r="J19" s="217">
        <f t="shared" si="2"/>
        <v>13764299.404634317</v>
      </c>
      <c r="K19" s="324">
        <f t="shared" si="1"/>
        <v>55057197.61853727</v>
      </c>
      <c r="L19" s="320"/>
      <c r="M19" s="227"/>
      <c r="N19" s="240"/>
      <c r="O19" s="227"/>
    </row>
    <row r="20" spans="1:15" x14ac:dyDescent="0.2">
      <c r="A20" s="158">
        <v>9</v>
      </c>
      <c r="B20" s="147" t="s">
        <v>144</v>
      </c>
      <c r="C20" s="256">
        <v>8</v>
      </c>
      <c r="D20" s="147" t="s">
        <v>145</v>
      </c>
      <c r="E20" s="183">
        <v>5000000</v>
      </c>
      <c r="F20" s="181">
        <f t="shared" si="0"/>
        <v>40000000</v>
      </c>
      <c r="G20" s="252">
        <f>+[4]C01!F21</f>
        <v>5000000</v>
      </c>
      <c r="H20" s="252">
        <f>+[4]CO3!F21</f>
        <v>348000</v>
      </c>
      <c r="I20" s="252">
        <f>+[4]CO4!F21</f>
        <v>252000</v>
      </c>
      <c r="J20" s="217">
        <f t="shared" si="2"/>
        <v>759713.65020321426</v>
      </c>
      <c r="K20" s="324">
        <f t="shared" si="1"/>
        <v>6077709.2016257141</v>
      </c>
      <c r="L20" s="320"/>
      <c r="M20" s="227"/>
      <c r="N20" s="240"/>
      <c r="O20" s="227"/>
    </row>
    <row r="21" spans="1:15" x14ac:dyDescent="0.2">
      <c r="A21" s="266"/>
      <c r="B21" s="272" t="s">
        <v>256</v>
      </c>
      <c r="C21" s="272"/>
      <c r="D21" s="272"/>
      <c r="E21" s="280"/>
      <c r="F21" s="280"/>
      <c r="G21" s="281">
        <f>+[4]C01!F30</f>
        <v>0</v>
      </c>
      <c r="H21" s="281">
        <f>+[4]CO3!F30</f>
        <v>0</v>
      </c>
      <c r="I21" s="281">
        <f>+[4]CO4!F30</f>
        <v>0</v>
      </c>
      <c r="J21" s="281"/>
      <c r="K21" s="325"/>
      <c r="L21" s="320"/>
      <c r="M21" s="227"/>
      <c r="N21" s="240"/>
      <c r="O21" s="227"/>
    </row>
    <row r="22" spans="1:15" x14ac:dyDescent="0.2">
      <c r="A22" s="158">
        <v>1</v>
      </c>
      <c r="B22" s="156" t="s">
        <v>78</v>
      </c>
      <c r="C22" s="151">
        <v>1</v>
      </c>
      <c r="D22" s="159" t="s">
        <v>77</v>
      </c>
      <c r="E22" s="181">
        <v>650000</v>
      </c>
      <c r="F22" s="181">
        <f t="shared" ref="F22:F47" si="3">+E22*C22</f>
        <v>650000</v>
      </c>
      <c r="G22" s="217">
        <f>+[4]C01!F31</f>
        <v>650000</v>
      </c>
      <c r="H22" s="217">
        <f>+[4]CO3!F31</f>
        <v>796700</v>
      </c>
      <c r="I22" s="217">
        <f>+[4]CO4!F31</f>
        <v>65650</v>
      </c>
      <c r="J22" s="217">
        <f t="shared" si="2"/>
        <v>323952.2256885097</v>
      </c>
      <c r="K22" s="324">
        <f t="shared" si="1"/>
        <v>323952.2256885097</v>
      </c>
      <c r="L22" s="320"/>
      <c r="M22" s="227"/>
      <c r="N22" s="240"/>
      <c r="O22" s="227"/>
    </row>
    <row r="23" spans="1:15" x14ac:dyDescent="0.2">
      <c r="A23" s="158">
        <f t="shared" ref="A23:A57" si="4">+A22+1</f>
        <v>2</v>
      </c>
      <c r="B23" s="156" t="s">
        <v>79</v>
      </c>
      <c r="C23" s="160">
        <v>5000</v>
      </c>
      <c r="D23" s="159" t="s">
        <v>77</v>
      </c>
      <c r="E23" s="181">
        <v>1300</v>
      </c>
      <c r="F23" s="181">
        <f t="shared" si="3"/>
        <v>6500000</v>
      </c>
      <c r="G23" s="217">
        <f>+[4]C01!F32</f>
        <v>1300</v>
      </c>
      <c r="H23" s="217">
        <f>+[4]CO3!F32</f>
        <v>134.6</v>
      </c>
      <c r="I23" s="217">
        <f>+[4]CO4!F32</f>
        <v>137</v>
      </c>
      <c r="J23" s="217">
        <f t="shared" si="2"/>
        <v>288.33873787486948</v>
      </c>
      <c r="K23" s="324">
        <f t="shared" si="1"/>
        <v>1441693.6893743475</v>
      </c>
      <c r="L23" s="320"/>
      <c r="M23" s="227"/>
      <c r="N23" s="240"/>
      <c r="O23" s="227"/>
    </row>
    <row r="24" spans="1:15" x14ac:dyDescent="0.2">
      <c r="A24" s="158">
        <f t="shared" si="4"/>
        <v>3</v>
      </c>
      <c r="B24" s="156" t="s">
        <v>80</v>
      </c>
      <c r="C24" s="151">
        <v>1</v>
      </c>
      <c r="D24" s="159" t="s">
        <v>77</v>
      </c>
      <c r="E24" s="181">
        <v>2100000</v>
      </c>
      <c r="F24" s="181">
        <f t="shared" si="3"/>
        <v>2100000</v>
      </c>
      <c r="G24" s="217">
        <f>+[4]C01!F33</f>
        <v>2100000</v>
      </c>
      <c r="H24" s="217">
        <f>+[4]CO3!F33</f>
        <v>1849483</v>
      </c>
      <c r="I24" s="217">
        <f>+[4]CO4!F33</f>
        <v>814000</v>
      </c>
      <c r="J24" s="217">
        <f t="shared" si="2"/>
        <v>1467679.9041051471</v>
      </c>
      <c r="K24" s="324">
        <f t="shared" si="1"/>
        <v>1467679.9041051471</v>
      </c>
      <c r="L24" s="320"/>
      <c r="M24" s="227"/>
      <c r="N24" s="240"/>
      <c r="O24" s="227"/>
    </row>
    <row r="25" spans="1:15" x14ac:dyDescent="0.2">
      <c r="A25" s="158">
        <f t="shared" si="4"/>
        <v>4</v>
      </c>
      <c r="B25" s="156" t="s">
        <v>81</v>
      </c>
      <c r="C25" s="151">
        <v>2</v>
      </c>
      <c r="D25" s="159" t="s">
        <v>77</v>
      </c>
      <c r="E25" s="181">
        <v>1500000</v>
      </c>
      <c r="F25" s="181">
        <f t="shared" si="3"/>
        <v>3000000</v>
      </c>
      <c r="G25" s="217">
        <f>+[4]C01!F34</f>
        <v>1500000</v>
      </c>
      <c r="H25" s="217">
        <f>+[4]CO3!F34</f>
        <v>1223504</v>
      </c>
      <c r="I25" s="217">
        <f>+[4]CO4!F34</f>
        <v>570500</v>
      </c>
      <c r="J25" s="217">
        <f t="shared" si="2"/>
        <v>1015431.8167168966</v>
      </c>
      <c r="K25" s="324">
        <f t="shared" si="1"/>
        <v>2030863.6334337932</v>
      </c>
      <c r="L25" s="320"/>
      <c r="M25" s="227"/>
      <c r="N25" s="240"/>
      <c r="O25" s="227"/>
    </row>
    <row r="26" spans="1:15" x14ac:dyDescent="0.2">
      <c r="A26" s="158">
        <f t="shared" si="4"/>
        <v>5</v>
      </c>
      <c r="B26" s="156" t="s">
        <v>82</v>
      </c>
      <c r="C26" s="151">
        <v>1</v>
      </c>
      <c r="D26" s="159" t="s">
        <v>77</v>
      </c>
      <c r="E26" s="181">
        <v>1400000</v>
      </c>
      <c r="F26" s="181">
        <f t="shared" si="3"/>
        <v>1400000</v>
      </c>
      <c r="G26" s="217">
        <f>+[4]C01!F35</f>
        <v>1400000</v>
      </c>
      <c r="H26" s="217">
        <f>+[4]CO3!F35</f>
        <v>910514</v>
      </c>
      <c r="I26" s="217">
        <f>+[4]CO4!F35</f>
        <v>360000</v>
      </c>
      <c r="J26" s="217">
        <f t="shared" si="2"/>
        <v>771327.92502350698</v>
      </c>
      <c r="K26" s="324">
        <f t="shared" si="1"/>
        <v>771327.92502350698</v>
      </c>
      <c r="L26" s="320"/>
      <c r="M26" s="227"/>
      <c r="N26" s="240"/>
      <c r="O26" s="227"/>
    </row>
    <row r="27" spans="1:15" x14ac:dyDescent="0.2">
      <c r="A27" s="158">
        <f t="shared" si="4"/>
        <v>6</v>
      </c>
      <c r="B27" s="156" t="s">
        <v>137</v>
      </c>
      <c r="C27" s="151">
        <v>1</v>
      </c>
      <c r="D27" s="159" t="s">
        <v>77</v>
      </c>
      <c r="E27" s="181">
        <v>600000</v>
      </c>
      <c r="F27" s="181">
        <f t="shared" si="3"/>
        <v>600000</v>
      </c>
      <c r="G27" s="217">
        <f>+[4]C01!F36</f>
        <v>600000</v>
      </c>
      <c r="H27" s="217">
        <f>+[4]CO3!F36</f>
        <v>1327835</v>
      </c>
      <c r="I27" s="217">
        <f>+[4]CO4!F36</f>
        <v>328900</v>
      </c>
      <c r="J27" s="217">
        <f t="shared" si="2"/>
        <v>639911.24981904088</v>
      </c>
      <c r="K27" s="324">
        <f t="shared" si="1"/>
        <v>639911.24981904088</v>
      </c>
      <c r="L27" s="320"/>
      <c r="M27" s="227"/>
      <c r="N27" s="240"/>
      <c r="O27" s="227"/>
    </row>
    <row r="28" spans="1:15" x14ac:dyDescent="0.2">
      <c r="A28" s="158">
        <f t="shared" si="4"/>
        <v>7</v>
      </c>
      <c r="B28" s="156" t="s">
        <v>138</v>
      </c>
      <c r="C28" s="160">
        <v>5000</v>
      </c>
      <c r="D28" s="159" t="s">
        <v>77</v>
      </c>
      <c r="E28" s="184">
        <v>310</v>
      </c>
      <c r="F28" s="181">
        <f t="shared" si="3"/>
        <v>1550000</v>
      </c>
      <c r="G28" s="217">
        <f>+[4]C01!F37</f>
        <v>310</v>
      </c>
      <c r="H28" s="217">
        <f>+[4]CO3!F37</f>
        <v>169.36</v>
      </c>
      <c r="I28" s="217">
        <f>+[4]CO4!F37</f>
        <v>218</v>
      </c>
      <c r="J28" s="217">
        <f t="shared" si="2"/>
        <v>225.35974582340063</v>
      </c>
      <c r="K28" s="324">
        <f t="shared" si="1"/>
        <v>1126798.729117003</v>
      </c>
      <c r="L28" s="320"/>
      <c r="M28" s="227"/>
      <c r="N28" s="240"/>
      <c r="O28" s="227"/>
    </row>
    <row r="29" spans="1:15" x14ac:dyDescent="0.2">
      <c r="A29" s="158">
        <f t="shared" si="4"/>
        <v>8</v>
      </c>
      <c r="B29" s="156" t="s">
        <v>139</v>
      </c>
      <c r="C29" s="151">
        <v>1</v>
      </c>
      <c r="D29" s="159" t="s">
        <v>77</v>
      </c>
      <c r="E29" s="181">
        <v>900000</v>
      </c>
      <c r="F29" s="181">
        <f t="shared" si="3"/>
        <v>900000</v>
      </c>
      <c r="G29" s="217">
        <f>+[4]C01!F38</f>
        <v>900000</v>
      </c>
      <c r="H29" s="217">
        <f>+[4]CO3!F38</f>
        <v>1991753</v>
      </c>
      <c r="I29" s="217">
        <f>+[4]CO4!F38</f>
        <v>575900</v>
      </c>
      <c r="J29" s="217">
        <f t="shared" si="2"/>
        <v>1010667.6295046489</v>
      </c>
      <c r="K29" s="324">
        <f t="shared" si="1"/>
        <v>1010667.6295046489</v>
      </c>
      <c r="L29" s="320"/>
      <c r="M29" s="227"/>
      <c r="N29" s="240"/>
      <c r="O29" s="227"/>
    </row>
    <row r="30" spans="1:15" x14ac:dyDescent="0.2">
      <c r="A30" s="158">
        <f t="shared" si="4"/>
        <v>9</v>
      </c>
      <c r="B30" s="156" t="s">
        <v>140</v>
      </c>
      <c r="C30" s="160">
        <v>10000</v>
      </c>
      <c r="D30" s="159" t="s">
        <v>77</v>
      </c>
      <c r="E30" s="184">
        <v>360</v>
      </c>
      <c r="F30" s="181">
        <f t="shared" si="3"/>
        <v>3600000</v>
      </c>
      <c r="G30" s="217">
        <f>+[4]C01!F39</f>
        <v>360</v>
      </c>
      <c r="H30" s="217">
        <f>+[4]CO3!F39</f>
        <v>563.76</v>
      </c>
      <c r="I30" s="217">
        <f>+[4]CO4!F39</f>
        <v>267</v>
      </c>
      <c r="J30" s="217">
        <f t="shared" si="2"/>
        <v>378.41586883138137</v>
      </c>
      <c r="K30" s="324">
        <f t="shared" si="1"/>
        <v>3784158.6883138139</v>
      </c>
      <c r="L30" s="320"/>
      <c r="M30" s="320"/>
      <c r="N30" s="336">
        <v>200</v>
      </c>
      <c r="O30" s="227" t="s">
        <v>300</v>
      </c>
    </row>
    <row r="31" spans="1:15" x14ac:dyDescent="0.2">
      <c r="A31" s="158">
        <f t="shared" si="4"/>
        <v>10</v>
      </c>
      <c r="B31" s="156" t="s">
        <v>141</v>
      </c>
      <c r="C31" s="151">
        <v>1</v>
      </c>
      <c r="D31" s="159" t="s">
        <v>77</v>
      </c>
      <c r="E31" s="181">
        <v>1200000</v>
      </c>
      <c r="F31" s="181">
        <f t="shared" si="3"/>
        <v>1200000</v>
      </c>
      <c r="G31" s="217">
        <f>+[4]C01!F40</f>
        <v>1200000</v>
      </c>
      <c r="H31" s="217">
        <f>+[4]CO3!F40</f>
        <v>2655671</v>
      </c>
      <c r="I31" s="217">
        <f>+[4]CO4!F40</f>
        <v>850000</v>
      </c>
      <c r="J31" s="217">
        <f t="shared" si="2"/>
        <v>1393985.151070673</v>
      </c>
      <c r="K31" s="324">
        <f t="shared" si="1"/>
        <v>1393985.151070673</v>
      </c>
      <c r="L31" s="320"/>
      <c r="M31" s="227"/>
      <c r="N31" s="240"/>
      <c r="O31" s="227"/>
    </row>
    <row r="32" spans="1:15" x14ac:dyDescent="0.2">
      <c r="A32" s="158">
        <f t="shared" si="4"/>
        <v>11</v>
      </c>
      <c r="B32" s="156" t="s">
        <v>142</v>
      </c>
      <c r="C32" s="160">
        <v>5000</v>
      </c>
      <c r="D32" s="159" t="s">
        <v>77</v>
      </c>
      <c r="E32" s="184">
        <v>360</v>
      </c>
      <c r="F32" s="181">
        <f t="shared" si="3"/>
        <v>1800000</v>
      </c>
      <c r="G32" s="217">
        <f>+[4]C01!F41</f>
        <v>360</v>
      </c>
      <c r="H32" s="217">
        <f>+[4]CO3!F41</f>
        <v>350.32</v>
      </c>
      <c r="I32" s="217">
        <f>+[4]CO4!F41</f>
        <v>270</v>
      </c>
      <c r="J32" s="217">
        <f t="shared" si="2"/>
        <v>324.12340977806485</v>
      </c>
      <c r="K32" s="324">
        <f t="shared" si="1"/>
        <v>1620617.0488903243</v>
      </c>
      <c r="L32" s="320"/>
      <c r="M32" s="227"/>
      <c r="N32" s="240"/>
      <c r="O32" s="227"/>
    </row>
    <row r="33" spans="1:15" x14ac:dyDescent="0.2">
      <c r="A33" s="158">
        <f t="shared" si="4"/>
        <v>12</v>
      </c>
      <c r="B33" s="156" t="s">
        <v>133</v>
      </c>
      <c r="C33" s="160">
        <v>12500</v>
      </c>
      <c r="D33" s="159" t="s">
        <v>77</v>
      </c>
      <c r="E33" s="181">
        <v>3500</v>
      </c>
      <c r="F33" s="181">
        <f t="shared" si="3"/>
        <v>43750000</v>
      </c>
      <c r="G33" s="217">
        <f>+[4]C01!F42</f>
        <v>3500</v>
      </c>
      <c r="H33" s="217">
        <f>+[4]CO3!F42</f>
        <v>1102</v>
      </c>
      <c r="I33" s="217">
        <f>+[4]CO4!F42</f>
        <v>1160</v>
      </c>
      <c r="J33" s="217">
        <f t="shared" si="2"/>
        <v>1647.7925792297706</v>
      </c>
      <c r="K33" s="324">
        <f t="shared" si="1"/>
        <v>20597407.240372133</v>
      </c>
      <c r="L33" s="337">
        <v>1895</v>
      </c>
      <c r="M33" s="227" t="s">
        <v>301</v>
      </c>
      <c r="N33" s="240"/>
      <c r="O33" s="227"/>
    </row>
    <row r="34" spans="1:15" ht="13.5" customHeight="1" x14ac:dyDescent="0.2">
      <c r="A34" s="158">
        <f t="shared" si="4"/>
        <v>13</v>
      </c>
      <c r="B34" s="156" t="s">
        <v>188</v>
      </c>
      <c r="C34" s="160">
        <v>100</v>
      </c>
      <c r="D34" s="159" t="s">
        <v>77</v>
      </c>
      <c r="E34" s="181">
        <v>1800</v>
      </c>
      <c r="F34" s="181">
        <f t="shared" si="3"/>
        <v>180000</v>
      </c>
      <c r="G34" s="217">
        <f>+[4]C01!F43</f>
        <v>1800</v>
      </c>
      <c r="H34" s="252">
        <f>+[4]CO3!F43</f>
        <v>643886</v>
      </c>
      <c r="I34" s="217">
        <f>+[4]CO4!F43</f>
        <v>147500</v>
      </c>
      <c r="J34" s="217">
        <f t="shared" si="2"/>
        <v>55499.768199664933</v>
      </c>
      <c r="K34" s="324">
        <f t="shared" si="1"/>
        <v>5549976.8199664932</v>
      </c>
      <c r="L34" s="338">
        <v>3000</v>
      </c>
      <c r="M34" s="227" t="s">
        <v>301</v>
      </c>
      <c r="N34" s="240"/>
      <c r="O34" s="227"/>
    </row>
    <row r="35" spans="1:15" x14ac:dyDescent="0.2">
      <c r="A35" s="158">
        <f t="shared" si="4"/>
        <v>14</v>
      </c>
      <c r="B35" s="156" t="s">
        <v>124</v>
      </c>
      <c r="C35" s="160">
        <v>1</v>
      </c>
      <c r="D35" s="159" t="s">
        <v>77</v>
      </c>
      <c r="E35" s="181">
        <v>800000</v>
      </c>
      <c r="F35" s="181">
        <f t="shared" si="3"/>
        <v>800000</v>
      </c>
      <c r="G35" s="217">
        <f>+[4]C01!F44</f>
        <v>800000</v>
      </c>
      <c r="H35" s="217">
        <f>+[4]CO3!F44</f>
        <v>368000</v>
      </c>
      <c r="I35" s="217">
        <f>+[4]CO4!F44</f>
        <v>226900</v>
      </c>
      <c r="J35" s="217">
        <f t="shared" si="2"/>
        <v>405748.97730010306</v>
      </c>
      <c r="K35" s="324">
        <f t="shared" si="1"/>
        <v>405748.97730010306</v>
      </c>
      <c r="L35" s="320"/>
      <c r="M35" s="227"/>
      <c r="N35" s="240"/>
      <c r="O35" s="227"/>
    </row>
    <row r="36" spans="1:15" x14ac:dyDescent="0.2">
      <c r="A36" s="158">
        <f t="shared" si="4"/>
        <v>15</v>
      </c>
      <c r="B36" s="161" t="s">
        <v>125</v>
      </c>
      <c r="C36" s="160">
        <v>215</v>
      </c>
      <c r="D36" s="159" t="s">
        <v>77</v>
      </c>
      <c r="E36" s="181">
        <v>5400</v>
      </c>
      <c r="F36" s="181">
        <f t="shared" si="3"/>
        <v>1161000</v>
      </c>
      <c r="G36" s="217">
        <f>+[4]C01!F45</f>
        <v>5400</v>
      </c>
      <c r="H36" s="217">
        <f>+[4]CO3!F45</f>
        <v>13200</v>
      </c>
      <c r="I36" s="217">
        <f>+[4]CO4!F45</f>
        <v>12700</v>
      </c>
      <c r="J36" s="217">
        <f t="shared" si="2"/>
        <v>9673.652236994476</v>
      </c>
      <c r="K36" s="324">
        <f t="shared" si="1"/>
        <v>2079835.2309538124</v>
      </c>
      <c r="L36" s="339">
        <v>2900</v>
      </c>
      <c r="M36" s="227" t="s">
        <v>301</v>
      </c>
      <c r="N36" s="240"/>
      <c r="O36" s="227"/>
    </row>
    <row r="37" spans="1:15" x14ac:dyDescent="0.2">
      <c r="A37" s="158">
        <f t="shared" si="4"/>
        <v>16</v>
      </c>
      <c r="B37" s="161" t="s">
        <v>126</v>
      </c>
      <c r="C37" s="151">
        <v>1</v>
      </c>
      <c r="D37" s="159" t="s">
        <v>77</v>
      </c>
      <c r="E37" s="181">
        <v>775000</v>
      </c>
      <c r="F37" s="181">
        <f t="shared" si="3"/>
        <v>775000</v>
      </c>
      <c r="G37" s="217">
        <f>+[4]C01!F46</f>
        <v>775000</v>
      </c>
      <c r="H37" s="217">
        <f>+[4]CO3!F46</f>
        <v>5121648</v>
      </c>
      <c r="I37" s="217">
        <f>+[4]CO4!F46</f>
        <v>415090</v>
      </c>
      <c r="J37" s="217">
        <f t="shared" si="2"/>
        <v>1181094.2814942093</v>
      </c>
      <c r="K37" s="324">
        <f t="shared" si="1"/>
        <v>1181094.2814942093</v>
      </c>
      <c r="L37" s="320"/>
      <c r="M37" s="227"/>
      <c r="N37" s="240"/>
      <c r="O37" s="227"/>
    </row>
    <row r="38" spans="1:15" x14ac:dyDescent="0.2">
      <c r="A38" s="158">
        <f t="shared" si="4"/>
        <v>17</v>
      </c>
      <c r="B38" s="161" t="s">
        <v>134</v>
      </c>
      <c r="C38" s="160">
        <v>498</v>
      </c>
      <c r="D38" s="159" t="s">
        <v>77</v>
      </c>
      <c r="E38" s="181">
        <v>4000</v>
      </c>
      <c r="F38" s="181">
        <f t="shared" si="3"/>
        <v>1992000</v>
      </c>
      <c r="G38" s="217">
        <f>+[4]C01!F47</f>
        <v>4000</v>
      </c>
      <c r="H38" s="217">
        <f>+[4]CO3!F47</f>
        <v>2062.5</v>
      </c>
      <c r="I38" s="217">
        <f>+[4]CO4!F47</f>
        <v>11050</v>
      </c>
      <c r="J38" s="217">
        <f t="shared" si="2"/>
        <v>4500.6171992945319</v>
      </c>
      <c r="K38" s="324">
        <f t="shared" si="1"/>
        <v>2241307.3652486769</v>
      </c>
      <c r="L38" s="320"/>
      <c r="M38" s="227"/>
      <c r="N38" s="240"/>
      <c r="O38" s="227"/>
    </row>
    <row r="39" spans="1:15" x14ac:dyDescent="0.2">
      <c r="A39" s="158">
        <f t="shared" si="4"/>
        <v>18</v>
      </c>
      <c r="B39" s="156" t="s">
        <v>83</v>
      </c>
      <c r="C39" s="151">
        <v>5</v>
      </c>
      <c r="D39" s="159" t="s">
        <v>77</v>
      </c>
      <c r="E39" s="181">
        <v>650000</v>
      </c>
      <c r="F39" s="181">
        <f t="shared" si="3"/>
        <v>3250000</v>
      </c>
      <c r="G39" s="217">
        <f>+[4]C01!F48</f>
        <v>650000</v>
      </c>
      <c r="H39" s="217">
        <f>+[4]CO3!F48</f>
        <v>466639</v>
      </c>
      <c r="I39" s="217">
        <f>+[4]CO4!F48</f>
        <v>355000</v>
      </c>
      <c r="J39" s="217">
        <f t="shared" si="2"/>
        <v>475745.01627523173</v>
      </c>
      <c r="K39" s="324">
        <f t="shared" si="1"/>
        <v>2378725.0813761586</v>
      </c>
      <c r="L39" s="320"/>
      <c r="M39" s="227"/>
      <c r="N39" s="240"/>
      <c r="O39" s="227"/>
    </row>
    <row r="40" spans="1:15" x14ac:dyDescent="0.2">
      <c r="A40" s="158">
        <f t="shared" si="4"/>
        <v>19</v>
      </c>
      <c r="B40" s="156" t="s">
        <v>135</v>
      </c>
      <c r="C40" s="148">
        <v>5</v>
      </c>
      <c r="D40" s="159" t="s">
        <v>77</v>
      </c>
      <c r="E40" s="181">
        <v>290000</v>
      </c>
      <c r="F40" s="181">
        <f t="shared" si="3"/>
        <v>1450000</v>
      </c>
      <c r="G40" s="217">
        <f>+[4]C01!F49</f>
        <v>290000</v>
      </c>
      <c r="H40" s="217">
        <f>+[4]CO3!F49</f>
        <v>191400</v>
      </c>
      <c r="I40" s="217">
        <f>+[4]CO4!F49</f>
        <v>252000</v>
      </c>
      <c r="J40" s="217">
        <f t="shared" si="2"/>
        <v>240942.54353626477</v>
      </c>
      <c r="K40" s="324">
        <f t="shared" si="1"/>
        <v>1204712.7176813239</v>
      </c>
      <c r="L40" s="320"/>
      <c r="M40" s="227"/>
      <c r="N40" s="240">
        <v>100000</v>
      </c>
      <c r="O40" s="227" t="s">
        <v>300</v>
      </c>
    </row>
    <row r="41" spans="1:15" x14ac:dyDescent="0.2">
      <c r="A41" s="158">
        <f t="shared" si="4"/>
        <v>20</v>
      </c>
      <c r="B41" s="156" t="s">
        <v>84</v>
      </c>
      <c r="C41" s="151">
        <v>1</v>
      </c>
      <c r="D41" s="159" t="s">
        <v>77</v>
      </c>
      <c r="E41" s="181">
        <v>650000</v>
      </c>
      <c r="F41" s="181">
        <f t="shared" si="3"/>
        <v>650000</v>
      </c>
      <c r="G41" s="217">
        <f>+[4]C01!F50</f>
        <v>650000</v>
      </c>
      <c r="H41" s="217">
        <f>+[4]CO3!F50</f>
        <v>466639</v>
      </c>
      <c r="I41" s="217">
        <f>+[4]CO4!F50</f>
        <v>161995</v>
      </c>
      <c r="J41" s="217">
        <f t="shared" si="2"/>
        <v>366267.73815117305</v>
      </c>
      <c r="K41" s="324">
        <f t="shared" si="1"/>
        <v>366267.73815117305</v>
      </c>
      <c r="L41" s="320"/>
      <c r="M41" s="227"/>
      <c r="N41" s="240"/>
      <c r="O41" s="227"/>
    </row>
    <row r="42" spans="1:15" x14ac:dyDescent="0.2">
      <c r="A42" s="158">
        <f t="shared" si="4"/>
        <v>21</v>
      </c>
      <c r="B42" s="156" t="s">
        <v>85</v>
      </c>
      <c r="C42" s="151">
        <v>1</v>
      </c>
      <c r="D42" s="159" t="s">
        <v>77</v>
      </c>
      <c r="E42" s="181">
        <v>390000</v>
      </c>
      <c r="F42" s="181">
        <f t="shared" si="3"/>
        <v>390000</v>
      </c>
      <c r="G42" s="217">
        <f>+[4]C01!F51</f>
        <v>390000</v>
      </c>
      <c r="H42" s="217">
        <f>+[4]CO3!F51</f>
        <v>425000</v>
      </c>
      <c r="I42" s="217">
        <f>+[4]CO4!F51</f>
        <v>973000</v>
      </c>
      <c r="J42" s="217">
        <f t="shared" si="2"/>
        <v>544321.46288221865</v>
      </c>
      <c r="K42" s="324">
        <f t="shared" si="1"/>
        <v>544321.46288221865</v>
      </c>
      <c r="L42" s="320"/>
      <c r="M42" s="227"/>
      <c r="N42" s="240">
        <v>150000</v>
      </c>
      <c r="O42" s="227" t="s">
        <v>300</v>
      </c>
    </row>
    <row r="43" spans="1:15" x14ac:dyDescent="0.2">
      <c r="A43" s="158">
        <f t="shared" si="4"/>
        <v>22</v>
      </c>
      <c r="B43" s="156" t="s">
        <v>86</v>
      </c>
      <c r="C43" s="151">
        <v>2</v>
      </c>
      <c r="D43" s="159" t="s">
        <v>77</v>
      </c>
      <c r="E43" s="181">
        <v>730000</v>
      </c>
      <c r="F43" s="181">
        <f t="shared" si="3"/>
        <v>1460000</v>
      </c>
      <c r="G43" s="217">
        <f>+[4]C01!F52</f>
        <v>730000</v>
      </c>
      <c r="H43" s="217">
        <f>+[4]CO3!F52</f>
        <v>466639</v>
      </c>
      <c r="I43" s="217">
        <f>+[4]CO4!F52</f>
        <v>511980</v>
      </c>
      <c r="J43" s="217">
        <f t="shared" si="2"/>
        <v>558708.9515607201</v>
      </c>
      <c r="K43" s="324">
        <f t="shared" si="1"/>
        <v>1117417.9031214402</v>
      </c>
      <c r="L43" s="320"/>
      <c r="M43" s="227"/>
      <c r="N43" s="240"/>
      <c r="O43" s="227"/>
    </row>
    <row r="44" spans="1:15" x14ac:dyDescent="0.2">
      <c r="A44" s="158">
        <f t="shared" si="4"/>
        <v>23</v>
      </c>
      <c r="B44" s="156" t="s">
        <v>87</v>
      </c>
      <c r="C44" s="151">
        <v>1</v>
      </c>
      <c r="D44" s="159" t="s">
        <v>77</v>
      </c>
      <c r="E44" s="181">
        <v>280000</v>
      </c>
      <c r="F44" s="181">
        <f t="shared" si="3"/>
        <v>280000</v>
      </c>
      <c r="G44" s="217">
        <f>+[4]C01!F53</f>
        <v>280000</v>
      </c>
      <c r="H44" s="217">
        <f>+[4]CO3!F53</f>
        <v>87000</v>
      </c>
      <c r="I44" s="217">
        <f>+[4]CO4!F53</f>
        <v>1540000</v>
      </c>
      <c r="J44" s="217">
        <f t="shared" si="2"/>
        <v>334759.31326706492</v>
      </c>
      <c r="K44" s="324">
        <f t="shared" si="1"/>
        <v>334759.31326706492</v>
      </c>
      <c r="L44" s="326">
        <v>301600</v>
      </c>
      <c r="M44" s="227" t="s">
        <v>301</v>
      </c>
      <c r="N44" s="240">
        <v>250000</v>
      </c>
      <c r="O44" s="227" t="s">
        <v>300</v>
      </c>
    </row>
    <row r="45" spans="1:15" x14ac:dyDescent="0.2">
      <c r="A45" s="158">
        <f t="shared" si="4"/>
        <v>24</v>
      </c>
      <c r="B45" s="156" t="s">
        <v>88</v>
      </c>
      <c r="C45" s="151">
        <v>1</v>
      </c>
      <c r="D45" s="159" t="s">
        <v>77</v>
      </c>
      <c r="E45" s="181">
        <v>730000</v>
      </c>
      <c r="F45" s="181">
        <f t="shared" si="3"/>
        <v>730000</v>
      </c>
      <c r="G45" s="217">
        <f>+[4]C01!F54</f>
        <v>730000</v>
      </c>
      <c r="H45" s="217">
        <f>+[4]CO3!F54</f>
        <v>466639</v>
      </c>
      <c r="I45" s="217">
        <f>+[4]CO4!F54</f>
        <v>511980</v>
      </c>
      <c r="J45" s="217">
        <f t="shared" si="2"/>
        <v>558708.9515607201</v>
      </c>
      <c r="K45" s="324">
        <f t="shared" si="1"/>
        <v>558708.9515607201</v>
      </c>
      <c r="L45" s="320"/>
      <c r="M45" s="227"/>
      <c r="N45" s="240"/>
      <c r="O45" s="227"/>
    </row>
    <row r="46" spans="1:15" x14ac:dyDescent="0.2">
      <c r="A46" s="158">
        <f t="shared" si="4"/>
        <v>25</v>
      </c>
      <c r="B46" s="156" t="s">
        <v>89</v>
      </c>
      <c r="C46" s="151">
        <v>2</v>
      </c>
      <c r="D46" s="159" t="s">
        <v>77</v>
      </c>
      <c r="E46" s="181">
        <v>540000</v>
      </c>
      <c r="F46" s="181">
        <f t="shared" si="3"/>
        <v>1080000</v>
      </c>
      <c r="G46" s="217">
        <f>+[4]C01!F55</f>
        <v>540000</v>
      </c>
      <c r="H46" s="217">
        <f>+[4]CO3!F55</f>
        <v>174000</v>
      </c>
      <c r="I46" s="217">
        <f>+[4]CO4!F55</f>
        <v>1750000</v>
      </c>
      <c r="J46" s="217">
        <f t="shared" si="2"/>
        <v>547848.34278112929</v>
      </c>
      <c r="K46" s="324">
        <f t="shared" si="1"/>
        <v>1095696.6855622586</v>
      </c>
      <c r="L46" s="320"/>
      <c r="M46" s="227"/>
      <c r="N46" s="240">
        <v>400000</v>
      </c>
      <c r="O46" s="227" t="s">
        <v>300</v>
      </c>
    </row>
    <row r="47" spans="1:15" x14ac:dyDescent="0.2">
      <c r="A47" s="158">
        <f>+A46+1</f>
        <v>26</v>
      </c>
      <c r="B47" s="156" t="s">
        <v>90</v>
      </c>
      <c r="C47" s="151">
        <v>1</v>
      </c>
      <c r="D47" s="159" t="s">
        <v>77</v>
      </c>
      <c r="E47" s="181">
        <v>790000</v>
      </c>
      <c r="F47" s="181">
        <f t="shared" si="3"/>
        <v>790000</v>
      </c>
      <c r="G47" s="217">
        <f>+[4]C01!F56</f>
        <v>790000</v>
      </c>
      <c r="H47" s="217">
        <f>+[4]CO3!F56</f>
        <v>1079340</v>
      </c>
      <c r="I47" s="217">
        <f>+[4]CO4!F56</f>
        <v>675780</v>
      </c>
      <c r="J47" s="217">
        <f t="shared" si="2"/>
        <v>832140.95953078009</v>
      </c>
      <c r="K47" s="324">
        <f t="shared" si="1"/>
        <v>832140.95953078009</v>
      </c>
      <c r="L47" s="320"/>
      <c r="M47" s="227"/>
      <c r="N47" s="240"/>
      <c r="O47" s="227"/>
    </row>
    <row r="48" spans="1:15" x14ac:dyDescent="0.2">
      <c r="A48" s="158">
        <f t="shared" si="4"/>
        <v>27</v>
      </c>
      <c r="B48" s="156" t="s">
        <v>91</v>
      </c>
      <c r="C48" s="151">
        <v>1</v>
      </c>
      <c r="D48" s="159" t="s">
        <v>77</v>
      </c>
      <c r="E48" s="181" t="s">
        <v>190</v>
      </c>
      <c r="F48" s="181" t="s">
        <v>190</v>
      </c>
      <c r="G48" s="217" t="str">
        <f>+[4]C01!F57</f>
        <v>N/A</v>
      </c>
      <c r="H48" s="217">
        <f>+[4]CO3!F57</f>
        <v>261000</v>
      </c>
      <c r="I48" s="217">
        <f>+[4]CO4!F57</f>
        <v>2380000</v>
      </c>
      <c r="J48" s="217">
        <f t="shared" si="2"/>
        <v>788149.7319672195</v>
      </c>
      <c r="K48" s="324">
        <f t="shared" si="1"/>
        <v>788149.7319672195</v>
      </c>
      <c r="L48" s="320"/>
      <c r="M48" s="227"/>
      <c r="N48" s="240">
        <v>450000</v>
      </c>
      <c r="O48" s="227" t="s">
        <v>300</v>
      </c>
    </row>
    <row r="49" spans="1:15" x14ac:dyDescent="0.2">
      <c r="A49" s="158">
        <f t="shared" si="4"/>
        <v>28</v>
      </c>
      <c r="B49" s="156" t="s">
        <v>92</v>
      </c>
      <c r="C49" s="151">
        <v>1</v>
      </c>
      <c r="D49" s="159" t="s">
        <v>77</v>
      </c>
      <c r="E49" s="181">
        <v>920000</v>
      </c>
      <c r="F49" s="181">
        <f>+E49*C49</f>
        <v>920000</v>
      </c>
      <c r="G49" s="217">
        <f>+[4]C01!F58</f>
        <v>920000</v>
      </c>
      <c r="H49" s="217">
        <f>+[4]CO3!F58</f>
        <v>1079340</v>
      </c>
      <c r="I49" s="217">
        <f>+[4]CO4!F58</f>
        <v>675780</v>
      </c>
      <c r="J49" s="217">
        <f t="shared" si="2"/>
        <v>875488.56498114252</v>
      </c>
      <c r="K49" s="324">
        <f t="shared" si="1"/>
        <v>875488.56498114252</v>
      </c>
      <c r="L49" s="320"/>
      <c r="M49" s="227"/>
      <c r="N49" s="240"/>
      <c r="O49" s="227"/>
    </row>
    <row r="50" spans="1:15" x14ac:dyDescent="0.2">
      <c r="A50" s="158">
        <f t="shared" si="4"/>
        <v>29</v>
      </c>
      <c r="B50" s="156" t="s">
        <v>93</v>
      </c>
      <c r="C50" s="151">
        <v>1</v>
      </c>
      <c r="D50" s="159" t="s">
        <v>77</v>
      </c>
      <c r="E50" s="181" t="s">
        <v>190</v>
      </c>
      <c r="F50" s="181" t="s">
        <v>190</v>
      </c>
      <c r="G50" s="217" t="str">
        <f>+[4]C01!F59</f>
        <v>N/A</v>
      </c>
      <c r="H50" s="217">
        <f>+[4]CO3!F59</f>
        <v>174000</v>
      </c>
      <c r="I50" s="217">
        <f>+[4]CO4!F59</f>
        <v>4480000</v>
      </c>
      <c r="J50" s="217">
        <f t="shared" si="2"/>
        <v>882904.29832456924</v>
      </c>
      <c r="K50" s="324">
        <f t="shared" si="1"/>
        <v>882904.29832456924</v>
      </c>
      <c r="L50" s="320"/>
      <c r="M50" s="227"/>
      <c r="N50" s="240"/>
      <c r="O50" s="227"/>
    </row>
    <row r="51" spans="1:15" x14ac:dyDescent="0.2">
      <c r="A51" s="158">
        <f t="shared" si="4"/>
        <v>30</v>
      </c>
      <c r="B51" s="156" t="s">
        <v>94</v>
      </c>
      <c r="C51" s="151">
        <v>2</v>
      </c>
      <c r="D51" s="159" t="s">
        <v>77</v>
      </c>
      <c r="E51" s="181">
        <v>920000</v>
      </c>
      <c r="F51" s="181">
        <f>+E51*C51</f>
        <v>1840000</v>
      </c>
      <c r="G51" s="217">
        <f>+[4]C01!F60</f>
        <v>920000</v>
      </c>
      <c r="H51" s="217">
        <f>+[4]CO3!F60</f>
        <v>1079340</v>
      </c>
      <c r="I51" s="217">
        <f>+[4]CO4!F60</f>
        <v>675780</v>
      </c>
      <c r="J51" s="217">
        <f t="shared" si="2"/>
        <v>875488.56498114252</v>
      </c>
      <c r="K51" s="324">
        <f t="shared" si="1"/>
        <v>1750977.129962285</v>
      </c>
      <c r="L51" s="320"/>
      <c r="M51" s="227"/>
      <c r="N51" s="240"/>
      <c r="O51" s="227"/>
    </row>
    <row r="52" spans="1:15" x14ac:dyDescent="0.2">
      <c r="A52" s="158">
        <f t="shared" si="4"/>
        <v>31</v>
      </c>
      <c r="B52" s="156" t="s">
        <v>95</v>
      </c>
      <c r="C52" s="151">
        <v>2</v>
      </c>
      <c r="D52" s="159" t="s">
        <v>77</v>
      </c>
      <c r="E52" s="181" t="s">
        <v>190</v>
      </c>
      <c r="F52" s="181" t="s">
        <v>190</v>
      </c>
      <c r="G52" s="217" t="str">
        <f>+[4]C01!F61</f>
        <v>N/A</v>
      </c>
      <c r="H52" s="217">
        <f>+[4]CO3!F61</f>
        <v>522000</v>
      </c>
      <c r="I52" s="217">
        <f>+[4]CO4!F61</f>
        <v>4760000</v>
      </c>
      <c r="J52" s="217">
        <f t="shared" si="2"/>
        <v>1576299.463934439</v>
      </c>
      <c r="K52" s="324">
        <f t="shared" si="1"/>
        <v>3152598.927868878</v>
      </c>
      <c r="L52" s="320"/>
      <c r="M52" s="227"/>
      <c r="N52" s="240"/>
      <c r="O52" s="227"/>
    </row>
    <row r="53" spans="1:15" hidden="1" x14ac:dyDescent="0.2">
      <c r="A53" s="158">
        <f t="shared" si="4"/>
        <v>32</v>
      </c>
      <c r="B53" s="156" t="s">
        <v>96</v>
      </c>
      <c r="C53" s="151">
        <v>1</v>
      </c>
      <c r="D53" s="159" t="s">
        <v>77</v>
      </c>
      <c r="E53" s="181"/>
      <c r="F53" s="181">
        <f t="shared" ref="F53:F58" si="5">+E53*C53</f>
        <v>0</v>
      </c>
      <c r="G53" s="217">
        <f>+[4]C01!F62</f>
        <v>0</v>
      </c>
      <c r="H53" s="217">
        <f>+[4]CO3!F62</f>
        <v>0</v>
      </c>
      <c r="I53" s="217">
        <f>+[4]CO4!F62</f>
        <v>0</v>
      </c>
      <c r="J53" s="217"/>
      <c r="K53" s="324">
        <f t="shared" si="1"/>
        <v>0</v>
      </c>
      <c r="L53" s="320"/>
      <c r="M53" s="227"/>
      <c r="N53" s="240"/>
      <c r="O53" s="227"/>
    </row>
    <row r="54" spans="1:15" hidden="1" x14ac:dyDescent="0.2">
      <c r="A54" s="158">
        <f t="shared" si="4"/>
        <v>33</v>
      </c>
      <c r="B54" s="156" t="s">
        <v>97</v>
      </c>
      <c r="C54" s="151">
        <v>1</v>
      </c>
      <c r="D54" s="159" t="s">
        <v>77</v>
      </c>
      <c r="E54" s="181"/>
      <c r="F54" s="181">
        <f t="shared" si="5"/>
        <v>0</v>
      </c>
      <c r="G54" s="217">
        <f>+[4]C01!F63</f>
        <v>0</v>
      </c>
      <c r="H54" s="217">
        <f>+[4]CO3!F63</f>
        <v>0</v>
      </c>
      <c r="I54" s="217">
        <f>+[4]CO4!F63</f>
        <v>0</v>
      </c>
      <c r="J54" s="217"/>
      <c r="K54" s="324">
        <f t="shared" si="1"/>
        <v>0</v>
      </c>
      <c r="L54" s="320"/>
      <c r="M54" s="227"/>
      <c r="N54" s="240"/>
      <c r="O54" s="227"/>
    </row>
    <row r="55" spans="1:15" hidden="1" x14ac:dyDescent="0.2">
      <c r="A55" s="158">
        <f t="shared" si="4"/>
        <v>34</v>
      </c>
      <c r="B55" s="156" t="s">
        <v>98</v>
      </c>
      <c r="C55" s="151">
        <v>1</v>
      </c>
      <c r="D55" s="159" t="s">
        <v>77</v>
      </c>
      <c r="E55" s="181"/>
      <c r="F55" s="181">
        <f t="shared" si="5"/>
        <v>0</v>
      </c>
      <c r="G55" s="217">
        <f>+[4]C01!F64</f>
        <v>0</v>
      </c>
      <c r="H55" s="217">
        <f>+[4]CO3!F64</f>
        <v>0</v>
      </c>
      <c r="I55" s="217">
        <f>+[4]CO4!F64</f>
        <v>0</v>
      </c>
      <c r="J55" s="217"/>
      <c r="K55" s="324">
        <f t="shared" si="1"/>
        <v>0</v>
      </c>
      <c r="L55" s="320"/>
      <c r="M55" s="227"/>
      <c r="N55" s="240"/>
      <c r="O55" s="227"/>
    </row>
    <row r="56" spans="1:15" hidden="1" x14ac:dyDescent="0.2">
      <c r="A56" s="158">
        <f t="shared" si="4"/>
        <v>35</v>
      </c>
      <c r="B56" s="156" t="s">
        <v>99</v>
      </c>
      <c r="C56" s="151">
        <v>1</v>
      </c>
      <c r="D56" s="159" t="s">
        <v>77</v>
      </c>
      <c r="E56" s="181"/>
      <c r="F56" s="181">
        <f t="shared" si="5"/>
        <v>0</v>
      </c>
      <c r="G56" s="217">
        <f>+[4]C01!F65</f>
        <v>0</v>
      </c>
      <c r="H56" s="217">
        <f>+[4]CO3!F65</f>
        <v>0</v>
      </c>
      <c r="I56" s="217">
        <f>+[4]CO4!F65</f>
        <v>0</v>
      </c>
      <c r="J56" s="217"/>
      <c r="K56" s="324">
        <f t="shared" si="1"/>
        <v>0</v>
      </c>
      <c r="L56" s="320"/>
      <c r="M56" s="227"/>
      <c r="N56" s="240"/>
      <c r="O56" s="227"/>
    </row>
    <row r="57" spans="1:15" hidden="1" x14ac:dyDescent="0.2">
      <c r="A57" s="158">
        <f t="shared" si="4"/>
        <v>36</v>
      </c>
      <c r="B57" s="156" t="s">
        <v>100</v>
      </c>
      <c r="C57" s="151">
        <v>1</v>
      </c>
      <c r="D57" s="159" t="s">
        <v>77</v>
      </c>
      <c r="E57" s="181"/>
      <c r="F57" s="181">
        <f t="shared" si="5"/>
        <v>0</v>
      </c>
      <c r="G57" s="217">
        <f>+[4]C01!F66</f>
        <v>0</v>
      </c>
      <c r="H57" s="217">
        <f>+[4]CO3!F66</f>
        <v>0</v>
      </c>
      <c r="I57" s="217">
        <f>+[4]CO4!F66</f>
        <v>0</v>
      </c>
      <c r="J57" s="217"/>
      <c r="K57" s="324">
        <f t="shared" si="1"/>
        <v>0</v>
      </c>
      <c r="L57" s="320"/>
      <c r="M57" s="227"/>
      <c r="N57" s="240"/>
      <c r="O57" s="227"/>
    </row>
    <row r="58" spans="1:15" x14ac:dyDescent="0.2">
      <c r="A58" s="158">
        <v>32</v>
      </c>
      <c r="B58" s="156" t="s">
        <v>155</v>
      </c>
      <c r="C58" s="151">
        <v>12500</v>
      </c>
      <c r="D58" s="159" t="s">
        <v>77</v>
      </c>
      <c r="E58" s="181">
        <v>3200</v>
      </c>
      <c r="F58" s="181">
        <f t="shared" si="5"/>
        <v>40000000</v>
      </c>
      <c r="G58" s="217">
        <f>+[4]C01!F67</f>
        <v>3200</v>
      </c>
      <c r="H58" s="217">
        <f>+[4]CO3!F67</f>
        <v>4060</v>
      </c>
      <c r="I58" s="217">
        <f>+[4]CO4!F67</f>
        <v>4900</v>
      </c>
      <c r="J58" s="217">
        <f t="shared" si="2"/>
        <v>3992.9208119987447</v>
      </c>
      <c r="K58" s="324">
        <f t="shared" si="1"/>
        <v>49911510.149984308</v>
      </c>
      <c r="L58" s="327"/>
      <c r="M58" s="227"/>
      <c r="N58" s="240"/>
      <c r="O58" s="227"/>
    </row>
    <row r="59" spans="1:15" x14ac:dyDescent="0.2">
      <c r="A59" s="271"/>
      <c r="B59" s="539" t="s">
        <v>257</v>
      </c>
      <c r="C59" s="540"/>
      <c r="D59" s="540"/>
      <c r="E59" s="540"/>
      <c r="F59" s="541"/>
      <c r="G59" s="279">
        <f>+[4]C01!F68</f>
        <v>0</v>
      </c>
      <c r="H59" s="279">
        <f>+[4]CO3!F68</f>
        <v>0</v>
      </c>
      <c r="I59" s="279">
        <f>+[4]CO4!F68</f>
        <v>0</v>
      </c>
      <c r="J59" s="279"/>
      <c r="K59" s="328"/>
      <c r="L59" s="320"/>
      <c r="M59" s="227"/>
      <c r="N59" s="240"/>
      <c r="O59" s="227"/>
    </row>
    <row r="60" spans="1:15" x14ac:dyDescent="0.2">
      <c r="A60" s="158">
        <v>1</v>
      </c>
      <c r="B60" s="156" t="s">
        <v>163</v>
      </c>
      <c r="C60" s="160">
        <v>1</v>
      </c>
      <c r="D60" s="159" t="s">
        <v>77</v>
      </c>
      <c r="E60" s="181">
        <v>1200000</v>
      </c>
      <c r="F60" s="181">
        <v>1200000</v>
      </c>
      <c r="G60" s="252">
        <f>+[4]C01!F69</f>
        <v>1200000</v>
      </c>
      <c r="H60" s="217">
        <f>+[4]CO3!F69</f>
        <v>663917</v>
      </c>
      <c r="I60" s="217">
        <f>+[4]CO4!F69</f>
        <v>476050</v>
      </c>
      <c r="J60" s="217">
        <f t="shared" si="2"/>
        <v>723851.03809114045</v>
      </c>
      <c r="K60" s="329">
        <f t="shared" si="1"/>
        <v>723851.03809114045</v>
      </c>
      <c r="L60" s="330">
        <v>151</v>
      </c>
      <c r="M60" s="227" t="s">
        <v>301</v>
      </c>
      <c r="N60" s="240"/>
      <c r="O60" s="227"/>
    </row>
    <row r="61" spans="1:15" x14ac:dyDescent="0.2">
      <c r="A61" s="158">
        <v>2</v>
      </c>
      <c r="B61" s="156" t="s">
        <v>164</v>
      </c>
      <c r="C61" s="160">
        <v>12500</v>
      </c>
      <c r="D61" s="159" t="s">
        <v>77</v>
      </c>
      <c r="E61" s="181">
        <v>270</v>
      </c>
      <c r="F61" s="181">
        <f>+E61*C61</f>
        <v>3375000</v>
      </c>
      <c r="G61" s="217">
        <f>+[4]C01!F70</f>
        <v>270</v>
      </c>
      <c r="H61" s="217">
        <f>+[4]CO3!F70</f>
        <v>223.88</v>
      </c>
      <c r="I61" s="217">
        <f>+[4]CO4!F70</f>
        <v>605</v>
      </c>
      <c r="J61" s="217">
        <f t="shared" si="2"/>
        <v>331.92870559890866</v>
      </c>
      <c r="K61" s="329">
        <f t="shared" si="1"/>
        <v>4149108.8199863583</v>
      </c>
      <c r="L61" s="330">
        <v>209</v>
      </c>
      <c r="M61" s="227" t="s">
        <v>301</v>
      </c>
      <c r="N61" s="240"/>
      <c r="O61" s="227"/>
    </row>
    <row r="62" spans="1:15" ht="25.5" x14ac:dyDescent="0.2">
      <c r="A62" s="158">
        <v>3</v>
      </c>
      <c r="B62" s="156" t="s">
        <v>167</v>
      </c>
      <c r="C62" s="160">
        <v>1</v>
      </c>
      <c r="D62" s="159" t="s">
        <v>77</v>
      </c>
      <c r="E62" s="181">
        <v>2500000</v>
      </c>
      <c r="F62" s="181">
        <v>2500000</v>
      </c>
      <c r="G62" s="252">
        <f>+[4]C01!F73</f>
        <v>2500000</v>
      </c>
      <c r="H62" s="217">
        <f>+[4]CO3!F73</f>
        <v>360413</v>
      </c>
      <c r="I62" s="217">
        <f>+[4]CO4!F73</f>
        <v>760725</v>
      </c>
      <c r="J62" s="217">
        <f t="shared" si="2"/>
        <v>881703.80502081057</v>
      </c>
      <c r="K62" s="329">
        <f t="shared" si="1"/>
        <v>881703.80502081057</v>
      </c>
      <c r="L62" s="330"/>
      <c r="M62" s="227"/>
      <c r="N62" s="240"/>
      <c r="O62" s="227"/>
    </row>
    <row r="63" spans="1:15" ht="25.5" x14ac:dyDescent="0.2">
      <c r="A63" s="158">
        <v>4</v>
      </c>
      <c r="B63" s="156" t="s">
        <v>168</v>
      </c>
      <c r="C63" s="160">
        <v>12500</v>
      </c>
      <c r="D63" s="159" t="s">
        <v>77</v>
      </c>
      <c r="E63" s="181">
        <v>2800</v>
      </c>
      <c r="F63" s="181">
        <f>+E63*C63</f>
        <v>35000000</v>
      </c>
      <c r="G63" s="217">
        <f>+[4]C01!F74</f>
        <v>2800</v>
      </c>
      <c r="H63" s="217">
        <f>+[4]CO3!F74</f>
        <v>266.8</v>
      </c>
      <c r="I63" s="217">
        <f>+[4]CO4!F74</f>
        <v>372</v>
      </c>
      <c r="J63" s="217">
        <f t="shared" si="2"/>
        <v>652.57274625288619</v>
      </c>
      <c r="K63" s="329">
        <f t="shared" si="1"/>
        <v>8157159.3281610776</v>
      </c>
      <c r="L63" s="330"/>
      <c r="M63" s="227"/>
      <c r="N63" s="240"/>
      <c r="O63" s="227"/>
    </row>
    <row r="64" spans="1:15" ht="12.75" hidden="1" customHeight="1" x14ac:dyDescent="0.2">
      <c r="A64" s="158">
        <v>7</v>
      </c>
      <c r="B64" s="156" t="s">
        <v>149</v>
      </c>
      <c r="C64" s="160"/>
      <c r="D64" s="159" t="s">
        <v>77</v>
      </c>
      <c r="E64" s="181">
        <v>25000</v>
      </c>
      <c r="F64" s="181">
        <f>+E64*C64</f>
        <v>0</v>
      </c>
      <c r="G64" s="217">
        <f>+[4]C01!F75</f>
        <v>25000</v>
      </c>
      <c r="H64" s="217">
        <f>+[4]CO3!F75</f>
        <v>19662</v>
      </c>
      <c r="I64" s="217">
        <f>+[4]CO4!F75</f>
        <v>31850</v>
      </c>
      <c r="J64" s="217">
        <f>+GEOMEAN(G64:I64)-10000</f>
        <v>15016.45183777314</v>
      </c>
      <c r="K64" s="329">
        <f t="shared" si="1"/>
        <v>0</v>
      </c>
      <c r="L64" s="330"/>
      <c r="M64" s="227"/>
      <c r="N64" s="240"/>
      <c r="O64" s="227"/>
    </row>
    <row r="65" spans="1:16" x14ac:dyDescent="0.2">
      <c r="A65" s="271"/>
      <c r="B65" s="272" t="s">
        <v>258</v>
      </c>
      <c r="C65" s="272"/>
      <c r="D65" s="272"/>
      <c r="E65" s="273"/>
      <c r="F65" s="273"/>
      <c r="G65" s="281">
        <f>+[4]C01!F78</f>
        <v>0</v>
      </c>
      <c r="H65" s="281">
        <f>+[4]CO3!F78</f>
        <v>0</v>
      </c>
      <c r="I65" s="281">
        <f>+[4]CO4!F78</f>
        <v>0</v>
      </c>
      <c r="J65" s="281"/>
      <c r="K65" s="325"/>
      <c r="L65" s="320"/>
      <c r="M65" s="227"/>
      <c r="N65" s="240"/>
      <c r="O65" s="227"/>
    </row>
    <row r="66" spans="1:16" x14ac:dyDescent="0.2">
      <c r="A66" s="158">
        <v>1</v>
      </c>
      <c r="B66" s="156" t="s">
        <v>253</v>
      </c>
      <c r="C66" s="151">
        <v>1</v>
      </c>
      <c r="D66" s="159" t="s">
        <v>106</v>
      </c>
      <c r="E66" s="181">
        <v>3200000</v>
      </c>
      <c r="F66" s="181">
        <f>+E66*C66</f>
        <v>3200000</v>
      </c>
      <c r="G66" s="217">
        <f>+[4]C01!F79</f>
        <v>3200000</v>
      </c>
      <c r="H66" s="252">
        <f>+[4]CO3!F79</f>
        <v>35000000</v>
      </c>
      <c r="I66" s="217">
        <f>+[4]CO4!F79</f>
        <v>21890000</v>
      </c>
      <c r="J66" s="217">
        <f t="shared" si="2"/>
        <v>13484078.165690986</v>
      </c>
      <c r="K66" s="324">
        <f t="shared" ref="K66:K74" si="6">+J66*C66</f>
        <v>13484078.165690986</v>
      </c>
      <c r="L66" s="320"/>
      <c r="M66" s="227"/>
      <c r="N66" s="240"/>
      <c r="O66" s="227"/>
    </row>
    <row r="67" spans="1:16" x14ac:dyDescent="0.2">
      <c r="A67" s="158">
        <v>2</v>
      </c>
      <c r="B67" s="156" t="s">
        <v>118</v>
      </c>
      <c r="C67" s="151">
        <v>1</v>
      </c>
      <c r="D67" s="159" t="s">
        <v>119</v>
      </c>
      <c r="E67" s="181">
        <v>15600000</v>
      </c>
      <c r="F67" s="181">
        <f>+E67*C67</f>
        <v>15600000</v>
      </c>
      <c r="G67" s="217">
        <f>+[4]C01!F80</f>
        <v>15600000</v>
      </c>
      <c r="H67" s="252">
        <f>+[4]CO3!F80</f>
        <v>235000000</v>
      </c>
      <c r="I67" s="217">
        <f>+[4]CO4!F80</f>
        <v>49000000</v>
      </c>
      <c r="J67" s="217">
        <f t="shared" si="2"/>
        <v>56423866.967272855</v>
      </c>
      <c r="K67" s="324">
        <f>+J67*C67</f>
        <v>56423866.967272855</v>
      </c>
      <c r="L67" s="320"/>
      <c r="M67" s="227"/>
      <c r="N67" s="240"/>
      <c r="O67" s="227"/>
    </row>
    <row r="68" spans="1:16" x14ac:dyDescent="0.2">
      <c r="A68" s="158">
        <v>3</v>
      </c>
      <c r="B68" s="156" t="s">
        <v>120</v>
      </c>
      <c r="C68" s="160">
        <v>4000</v>
      </c>
      <c r="D68" s="159" t="s">
        <v>108</v>
      </c>
      <c r="E68" s="181">
        <v>900</v>
      </c>
      <c r="F68" s="181">
        <f>+E68*C68</f>
        <v>3600000</v>
      </c>
      <c r="G68" s="217">
        <f>+[4]C01!F81</f>
        <v>900</v>
      </c>
      <c r="H68" s="217">
        <f>+[4]CO3!F81</f>
        <v>500</v>
      </c>
      <c r="I68" s="217">
        <f>+[4]CO4!F81</f>
        <v>3000</v>
      </c>
      <c r="J68" s="217">
        <f t="shared" si="2"/>
        <v>1105.209449592116</v>
      </c>
      <c r="K68" s="324">
        <f t="shared" si="6"/>
        <v>4420837.7983684642</v>
      </c>
      <c r="L68" s="320"/>
      <c r="M68" s="227"/>
      <c r="N68" s="240"/>
      <c r="O68" s="227"/>
    </row>
    <row r="69" spans="1:16" ht="25.5" hidden="1" x14ac:dyDescent="0.2">
      <c r="A69" s="143"/>
      <c r="B69" s="165" t="s">
        <v>121</v>
      </c>
      <c r="C69" s="144"/>
      <c r="D69" s="142"/>
      <c r="E69" s="180"/>
      <c r="F69" s="180"/>
      <c r="G69" s="217">
        <f>+[4]C01!F82</f>
        <v>0</v>
      </c>
      <c r="H69" s="217">
        <f>+[4]CO3!F82</f>
        <v>0</v>
      </c>
      <c r="I69" s="217">
        <f>+[4]CO4!F82</f>
        <v>0</v>
      </c>
      <c r="J69" s="217"/>
      <c r="K69" s="324">
        <f t="shared" si="6"/>
        <v>0</v>
      </c>
      <c r="L69" s="320"/>
      <c r="M69" s="227"/>
      <c r="N69" s="240"/>
      <c r="O69" s="227"/>
    </row>
    <row r="70" spans="1:16" hidden="1" x14ac:dyDescent="0.2">
      <c r="A70" s="158"/>
      <c r="B70" s="156" t="s">
        <v>122</v>
      </c>
      <c r="C70" s="151"/>
      <c r="D70" s="159"/>
      <c r="E70" s="181"/>
      <c r="F70" s="181"/>
      <c r="G70" s="217">
        <f>+[4]C01!F83</f>
        <v>0</v>
      </c>
      <c r="H70" s="217">
        <f>+[4]CO3!F83</f>
        <v>0</v>
      </c>
      <c r="I70" s="217">
        <f>+[4]CO4!F83</f>
        <v>0</v>
      </c>
      <c r="J70" s="217"/>
      <c r="K70" s="324">
        <f t="shared" si="6"/>
        <v>0</v>
      </c>
      <c r="L70" s="320"/>
      <c r="M70" s="227"/>
      <c r="N70" s="240"/>
      <c r="O70" s="227"/>
    </row>
    <row r="71" spans="1:16" x14ac:dyDescent="0.2">
      <c r="A71" s="266"/>
      <c r="B71" s="272" t="s">
        <v>254</v>
      </c>
      <c r="C71" s="267"/>
      <c r="D71" s="265"/>
      <c r="E71" s="268"/>
      <c r="F71" s="268"/>
      <c r="G71" s="279">
        <f>+[4]C01!F84</f>
        <v>0</v>
      </c>
      <c r="H71" s="279">
        <f>+[4]CO3!F84</f>
        <v>0</v>
      </c>
      <c r="I71" s="279">
        <f>+[4]CO4!F84</f>
        <v>0</v>
      </c>
      <c r="J71" s="279"/>
      <c r="K71" s="328">
        <f t="shared" si="6"/>
        <v>0</v>
      </c>
      <c r="L71" s="320"/>
      <c r="M71" s="227"/>
      <c r="N71" s="240"/>
      <c r="O71" s="227"/>
    </row>
    <row r="72" spans="1:16" x14ac:dyDescent="0.2">
      <c r="A72" s="146">
        <v>1</v>
      </c>
      <c r="B72" s="147" t="s">
        <v>162</v>
      </c>
      <c r="C72" s="148">
        <v>1</v>
      </c>
      <c r="D72" s="166" t="s">
        <v>77</v>
      </c>
      <c r="E72" s="184">
        <v>100000000</v>
      </c>
      <c r="F72" s="181">
        <v>100000000</v>
      </c>
      <c r="G72" s="217">
        <f>+[4]C01!F85</f>
        <v>100000000</v>
      </c>
      <c r="H72" s="217">
        <f>+[4]CO3!F85</f>
        <v>96000000</v>
      </c>
      <c r="I72" s="217">
        <f>+[4]CO4!F85</f>
        <v>95500000</v>
      </c>
      <c r="J72" s="217">
        <f t="shared" si="2"/>
        <v>97145987.705999643</v>
      </c>
      <c r="K72" s="324">
        <f t="shared" si="6"/>
        <v>97145987.705999643</v>
      </c>
      <c r="L72" s="320"/>
      <c r="M72" s="227"/>
      <c r="N72" s="240"/>
      <c r="O72" s="227"/>
    </row>
    <row r="73" spans="1:16" x14ac:dyDescent="0.2">
      <c r="A73" s="275"/>
      <c r="B73" s="283" t="s">
        <v>255</v>
      </c>
      <c r="C73" s="283"/>
      <c r="D73" s="283"/>
      <c r="E73" s="273"/>
      <c r="F73" s="273"/>
      <c r="G73" s="281">
        <f>+[4]C01!F86</f>
        <v>0</v>
      </c>
      <c r="H73" s="281">
        <f>+[4]CO3!F86</f>
        <v>0</v>
      </c>
      <c r="I73" s="281">
        <f>+[4]CO4!F86</f>
        <v>0</v>
      </c>
      <c r="J73" s="281"/>
      <c r="K73" s="325">
        <f t="shared" si="6"/>
        <v>0</v>
      </c>
      <c r="L73" s="320"/>
      <c r="M73" s="227"/>
      <c r="N73" s="240"/>
      <c r="O73" s="227"/>
    </row>
    <row r="74" spans="1:16" ht="15" x14ac:dyDescent="0.25">
      <c r="A74" s="146">
        <v>1</v>
      </c>
      <c r="B74" s="156" t="s">
        <v>103</v>
      </c>
      <c r="C74" s="151">
        <v>10</v>
      </c>
      <c r="D74" s="154" t="s">
        <v>105</v>
      </c>
      <c r="E74" s="184">
        <v>35000000</v>
      </c>
      <c r="F74" s="181">
        <f>C74*E74</f>
        <v>350000000</v>
      </c>
      <c r="G74" s="252">
        <f>+[4]C01!F87</f>
        <v>35000000</v>
      </c>
      <c r="H74" s="217">
        <f>+[4]CO3!F87</f>
        <v>11210000</v>
      </c>
      <c r="I74" s="217">
        <f>+[4]CO4!F87</f>
        <v>8690000</v>
      </c>
      <c r="J74" s="217">
        <f t="shared" si="2"/>
        <v>15050969.573632065</v>
      </c>
      <c r="K74" s="324">
        <f t="shared" si="6"/>
        <v>150509695.73632064</v>
      </c>
      <c r="L74" s="331">
        <v>3227700</v>
      </c>
      <c r="M74" s="332" t="s">
        <v>302</v>
      </c>
      <c r="N74" s="240"/>
      <c r="O74" s="227"/>
    </row>
    <row r="75" spans="1:16" x14ac:dyDescent="0.2">
      <c r="A75" s="284"/>
      <c r="B75" s="283" t="s">
        <v>245</v>
      </c>
      <c r="C75" s="285"/>
      <c r="D75" s="264"/>
      <c r="E75" s="286"/>
      <c r="F75" s="286"/>
      <c r="G75" s="281">
        <f>+SUM(G12:G74)</f>
        <v>323064200</v>
      </c>
      <c r="H75" s="281">
        <f>+SUM(H12:H74)</f>
        <v>633300595.22000003</v>
      </c>
      <c r="I75" s="281">
        <f>+SUM(I12:I74)</f>
        <v>324447439</v>
      </c>
      <c r="J75" s="281">
        <f>+SUM(J12:J74)</f>
        <v>350387967.00439548</v>
      </c>
      <c r="K75" s="325">
        <f>+SUM(K12:K74)</f>
        <v>1121902589.3244455</v>
      </c>
      <c r="L75" s="320"/>
      <c r="M75" s="209"/>
      <c r="N75" s="240"/>
      <c r="O75" s="227"/>
      <c r="P75" s="137">
        <f>+K82-O75</f>
        <v>0</v>
      </c>
    </row>
    <row r="76" spans="1:16" hidden="1" x14ac:dyDescent="0.2">
      <c r="A76" s="270"/>
      <c r="B76" s="287" t="s">
        <v>244</v>
      </c>
      <c r="C76" s="282"/>
      <c r="D76" s="287"/>
      <c r="E76" s="268"/>
      <c r="F76" s="268"/>
      <c r="G76" s="279">
        <f>+[4]C01!F88</f>
        <v>0</v>
      </c>
      <c r="H76" s="279">
        <f>+[4]CO3!F88</f>
        <v>0</v>
      </c>
      <c r="I76" s="279">
        <f>+[4]CO4!F88</f>
        <v>0</v>
      </c>
      <c r="J76" s="279">
        <f t="shared" ref="J76" si="7">+AVERAGE(G76:I76)</f>
        <v>0</v>
      </c>
      <c r="K76" s="328">
        <f t="shared" ref="K76" si="8">+J76*C76</f>
        <v>0</v>
      </c>
      <c r="L76" s="320"/>
      <c r="M76" s="227"/>
      <c r="N76" s="240"/>
      <c r="O76" s="227"/>
    </row>
    <row r="77" spans="1:16" hidden="1" x14ac:dyDescent="0.2">
      <c r="A77" s="288"/>
      <c r="B77" s="282" t="s">
        <v>246</v>
      </c>
      <c r="C77" s="289">
        <v>10</v>
      </c>
      <c r="D77" s="269" t="s">
        <v>105</v>
      </c>
      <c r="E77" s="290"/>
      <c r="F77" s="290"/>
      <c r="G77" s="291">
        <f>+(M83*0.1)</f>
        <v>0</v>
      </c>
      <c r="H77" s="279">
        <v>58046740</v>
      </c>
      <c r="I77" s="279">
        <f>5000000*1.16</f>
        <v>5800000</v>
      </c>
      <c r="J77" s="279"/>
      <c r="K77" s="328">
        <f>+K82*0.07</f>
        <v>0</v>
      </c>
      <c r="L77" s="320"/>
      <c r="M77" s="227"/>
      <c r="N77" s="240"/>
      <c r="O77" s="227"/>
    </row>
    <row r="78" spans="1:16" x14ac:dyDescent="0.2">
      <c r="A78" s="284"/>
      <c r="B78" s="283" t="s">
        <v>248</v>
      </c>
      <c r="C78" s="285"/>
      <c r="D78" s="264"/>
      <c r="E78" s="286"/>
      <c r="F78" s="286"/>
      <c r="G78" s="292"/>
      <c r="H78" s="281"/>
      <c r="I78" s="281"/>
      <c r="J78" s="281"/>
      <c r="K78" s="325">
        <f>+K75/1.16</f>
        <v>967157404.59003925</v>
      </c>
      <c r="L78" s="320"/>
      <c r="M78" s="227"/>
      <c r="N78" s="240"/>
      <c r="O78" s="227"/>
    </row>
    <row r="79" spans="1:16" x14ac:dyDescent="0.2">
      <c r="A79" s="288"/>
      <c r="B79" s="282" t="s">
        <v>247</v>
      </c>
      <c r="C79" s="289"/>
      <c r="D79" s="269"/>
      <c r="E79" s="290"/>
      <c r="F79" s="290"/>
      <c r="G79" s="279"/>
      <c r="H79" s="279"/>
      <c r="I79" s="279"/>
      <c r="J79" s="279"/>
      <c r="K79" s="328">
        <f>+K78*0.07</f>
        <v>67701018.321302757</v>
      </c>
      <c r="L79" s="320"/>
      <c r="M79" s="209"/>
      <c r="N79" s="240"/>
      <c r="O79" s="227"/>
    </row>
    <row r="80" spans="1:16" x14ac:dyDescent="0.2">
      <c r="A80" s="288"/>
      <c r="B80" s="282" t="s">
        <v>249</v>
      </c>
      <c r="C80" s="289"/>
      <c r="D80" s="269"/>
      <c r="E80" s="290"/>
      <c r="F80" s="290"/>
      <c r="G80" s="279"/>
      <c r="H80" s="279"/>
      <c r="I80" s="279"/>
      <c r="J80" s="279"/>
      <c r="K80" s="328">
        <f>+K79+K78</f>
        <v>1034858422.911342</v>
      </c>
      <c r="L80" s="320"/>
      <c r="M80" s="209"/>
      <c r="N80" s="240"/>
      <c r="O80" s="227"/>
    </row>
    <row r="81" spans="1:15" x14ac:dyDescent="0.2">
      <c r="A81" s="258"/>
      <c r="B81" s="259" t="s">
        <v>250</v>
      </c>
      <c r="C81" s="260"/>
      <c r="D81" s="139"/>
      <c r="E81" s="261"/>
      <c r="F81" s="261"/>
      <c r="G81" s="262"/>
      <c r="H81" s="262"/>
      <c r="I81" s="262"/>
      <c r="J81" s="262"/>
      <c r="K81" s="333">
        <f>+K80*1.16</f>
        <v>1200435770.5771568</v>
      </c>
      <c r="L81" s="320"/>
      <c r="M81" s="209"/>
      <c r="N81" s="240"/>
      <c r="O81" s="227"/>
    </row>
    <row r="82" spans="1:15" x14ac:dyDescent="0.2">
      <c r="L82" s="334"/>
      <c r="M82" s="188"/>
      <c r="N82" s="335"/>
    </row>
    <row r="83" spans="1:15" x14ac:dyDescent="0.2">
      <c r="M83" s="188"/>
    </row>
    <row r="84" spans="1:15" x14ac:dyDescent="0.2">
      <c r="K84" s="263"/>
    </row>
  </sheetData>
  <mergeCells count="3">
    <mergeCell ref="A8:K8"/>
    <mergeCell ref="A9:B9"/>
    <mergeCell ref="B59:F59"/>
  </mergeCells>
  <pageMargins left="0.25" right="0.25" top="0.75" bottom="0.75" header="0.3" footer="0.3"/>
  <pageSetup scale="68" fitToHeight="0" orientation="landscape" r:id="rId1"/>
  <rowBreaks count="1" manualBreakCount="1">
    <brk id="63" max="10"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G230"/>
  <sheetViews>
    <sheetView topLeftCell="A209" zoomScale="130" zoomScaleNormal="130" zoomScaleSheetLayoutView="90" workbookViewId="0">
      <selection activeCell="B66" sqref="B66"/>
    </sheetView>
  </sheetViews>
  <sheetFormatPr baseColWidth="10" defaultColWidth="11.5703125" defaultRowHeight="12.75" x14ac:dyDescent="0.25"/>
  <cols>
    <col min="1" max="1" width="11.5703125" style="340"/>
    <col min="2" max="2" width="12.7109375" style="389" customWidth="1"/>
    <col min="3" max="3" width="7.42578125" style="390" bestFit="1" customWidth="1"/>
    <col min="4" max="4" width="16.42578125" style="390" bestFit="1" customWidth="1"/>
    <col min="5" max="5" width="38.85546875" style="389" customWidth="1"/>
    <col min="6" max="6" width="17.28515625" style="391" customWidth="1"/>
    <col min="7" max="16384" width="11.5703125" style="340"/>
  </cols>
  <sheetData>
    <row r="1" spans="2:6" ht="15" customHeight="1" x14ac:dyDescent="0.25">
      <c r="B1" s="561" t="s">
        <v>306</v>
      </c>
      <c r="C1" s="561"/>
      <c r="D1" s="561"/>
      <c r="E1" s="561"/>
      <c r="F1" s="561"/>
    </row>
    <row r="2" spans="2:6" x14ac:dyDescent="0.25">
      <c r="B2" s="561"/>
      <c r="C2" s="561"/>
      <c r="D2" s="561"/>
      <c r="E2" s="561"/>
      <c r="F2" s="561"/>
    </row>
    <row r="3" spans="2:6" ht="16.5" customHeight="1" x14ac:dyDescent="0.25">
      <c r="B3" s="561"/>
      <c r="C3" s="561"/>
      <c r="D3" s="561"/>
      <c r="E3" s="561"/>
      <c r="F3" s="561"/>
    </row>
    <row r="5" spans="2:6" ht="18" x14ac:dyDescent="0.25">
      <c r="B5" s="562" t="s">
        <v>307</v>
      </c>
      <c r="C5" s="562"/>
      <c r="D5" s="562"/>
      <c r="E5" s="562"/>
      <c r="F5" s="562"/>
    </row>
    <row r="6" spans="2:6" ht="13.5" thickBot="1" x14ac:dyDescent="0.3">
      <c r="B6" s="341"/>
      <c r="C6" s="341"/>
      <c r="D6" s="341"/>
      <c r="E6" s="341"/>
      <c r="F6" s="342"/>
    </row>
    <row r="7" spans="2:6" s="343" customFormat="1" x14ac:dyDescent="0.25">
      <c r="B7" s="563" t="s">
        <v>308</v>
      </c>
      <c r="C7" s="564"/>
      <c r="D7" s="564"/>
      <c r="E7" s="564"/>
      <c r="F7" s="564"/>
    </row>
    <row r="8" spans="2:6" s="343" customFormat="1" ht="25.5" x14ac:dyDescent="0.25">
      <c r="B8" s="344" t="s">
        <v>62</v>
      </c>
      <c r="C8" s="345" t="s">
        <v>63</v>
      </c>
      <c r="D8" s="345" t="s">
        <v>64</v>
      </c>
      <c r="E8" s="346" t="s">
        <v>65</v>
      </c>
      <c r="F8" s="347" t="s">
        <v>309</v>
      </c>
    </row>
    <row r="9" spans="2:6" ht="17.25" customHeight="1" x14ac:dyDescent="0.25">
      <c r="B9" s="348" t="s">
        <v>310</v>
      </c>
      <c r="C9" s="349">
        <v>1</v>
      </c>
      <c r="D9" s="349" t="s">
        <v>311</v>
      </c>
      <c r="E9" s="350" t="s">
        <v>312</v>
      </c>
      <c r="F9" s="351">
        <v>862068.96551724139</v>
      </c>
    </row>
    <row r="10" spans="2:6" x14ac:dyDescent="0.25">
      <c r="B10" s="348" t="s">
        <v>313</v>
      </c>
      <c r="C10" s="349">
        <v>1</v>
      </c>
      <c r="D10" s="349" t="s">
        <v>314</v>
      </c>
      <c r="E10" s="350" t="s">
        <v>315</v>
      </c>
      <c r="F10" s="351">
        <v>258620.68965517243</v>
      </c>
    </row>
    <row r="11" spans="2:6" x14ac:dyDescent="0.25">
      <c r="B11" s="348" t="s">
        <v>316</v>
      </c>
      <c r="C11" s="349">
        <v>1</v>
      </c>
      <c r="D11" s="349" t="s">
        <v>314</v>
      </c>
      <c r="E11" s="350" t="s">
        <v>317</v>
      </c>
      <c r="F11" s="351">
        <v>98000</v>
      </c>
    </row>
    <row r="12" spans="2:6" ht="13.5" thickBot="1" x14ac:dyDescent="0.3">
      <c r="B12" s="352" t="s">
        <v>318</v>
      </c>
      <c r="C12" s="353">
        <v>1</v>
      </c>
      <c r="D12" s="353" t="s">
        <v>314</v>
      </c>
      <c r="E12" s="354" t="s">
        <v>319</v>
      </c>
      <c r="F12" s="355">
        <v>337500</v>
      </c>
    </row>
    <row r="13" spans="2:6" ht="16.5" customHeight="1" thickBot="1" x14ac:dyDescent="0.3">
      <c r="B13" s="565" t="s">
        <v>320</v>
      </c>
      <c r="C13" s="566"/>
      <c r="D13" s="566"/>
      <c r="E13" s="566"/>
      <c r="F13" s="356">
        <f>SUM(F9:F12)</f>
        <v>1556189.6551724139</v>
      </c>
    </row>
    <row r="14" spans="2:6" ht="13.5" thickBot="1" x14ac:dyDescent="0.3">
      <c r="B14" s="357"/>
      <c r="C14" s="358"/>
      <c r="D14" s="358"/>
      <c r="E14" s="357"/>
      <c r="F14" s="359"/>
    </row>
    <row r="15" spans="2:6" x14ac:dyDescent="0.25">
      <c r="B15" s="567" t="s">
        <v>321</v>
      </c>
      <c r="C15" s="564"/>
      <c r="D15" s="564"/>
      <c r="E15" s="564"/>
      <c r="F15" s="564"/>
    </row>
    <row r="16" spans="2:6" ht="25.5" x14ac:dyDescent="0.25">
      <c r="B16" s="360" t="s">
        <v>62</v>
      </c>
      <c r="C16" s="361" t="s">
        <v>63</v>
      </c>
      <c r="D16" s="345" t="s">
        <v>64</v>
      </c>
      <c r="E16" s="346" t="s">
        <v>65</v>
      </c>
      <c r="F16" s="347" t="s">
        <v>309</v>
      </c>
    </row>
    <row r="17" spans="2:6" x14ac:dyDescent="0.25">
      <c r="B17" s="558" t="s">
        <v>322</v>
      </c>
      <c r="C17" s="349">
        <v>1</v>
      </c>
      <c r="D17" s="349" t="s">
        <v>323</v>
      </c>
      <c r="E17" s="350" t="s">
        <v>324</v>
      </c>
      <c r="F17" s="362">
        <v>127583.62068965519</v>
      </c>
    </row>
    <row r="18" spans="2:6" x14ac:dyDescent="0.25">
      <c r="B18" s="559"/>
      <c r="C18" s="349">
        <v>1</v>
      </c>
      <c r="D18" s="349" t="s">
        <v>323</v>
      </c>
      <c r="E18" s="350" t="s">
        <v>325</v>
      </c>
      <c r="F18" s="362">
        <v>162928.44827586209</v>
      </c>
    </row>
    <row r="19" spans="2:6" x14ac:dyDescent="0.25">
      <c r="B19" s="559"/>
      <c r="C19" s="349">
        <v>1</v>
      </c>
      <c r="D19" s="349" t="s">
        <v>323</v>
      </c>
      <c r="E19" s="350" t="s">
        <v>326</v>
      </c>
      <c r="F19" s="362">
        <v>198368.96551724139</v>
      </c>
    </row>
    <row r="20" spans="2:6" x14ac:dyDescent="0.25">
      <c r="B20" s="559"/>
      <c r="C20" s="349">
        <v>1</v>
      </c>
      <c r="D20" s="349" t="s">
        <v>323</v>
      </c>
      <c r="E20" s="350" t="s">
        <v>327</v>
      </c>
      <c r="F20" s="362">
        <v>274135.3448275862</v>
      </c>
    </row>
    <row r="21" spans="2:6" x14ac:dyDescent="0.25">
      <c r="B21" s="559"/>
      <c r="C21" s="349">
        <v>1</v>
      </c>
      <c r="D21" s="349" t="s">
        <v>323</v>
      </c>
      <c r="E21" s="350" t="s">
        <v>328</v>
      </c>
      <c r="F21" s="362">
        <v>433802</v>
      </c>
    </row>
    <row r="22" spans="2:6" x14ac:dyDescent="0.25">
      <c r="B22" s="560"/>
      <c r="C22" s="349">
        <v>1</v>
      </c>
      <c r="D22" s="349" t="s">
        <v>323</v>
      </c>
      <c r="E22" s="350" t="s">
        <v>329</v>
      </c>
      <c r="F22" s="362">
        <v>1200000</v>
      </c>
    </row>
    <row r="23" spans="2:6" ht="76.5" x14ac:dyDescent="0.25">
      <c r="B23" s="559" t="s">
        <v>330</v>
      </c>
      <c r="C23" s="363">
        <v>1</v>
      </c>
      <c r="D23" s="349" t="s">
        <v>323</v>
      </c>
      <c r="E23" s="350" t="s">
        <v>331</v>
      </c>
      <c r="F23" s="362">
        <v>5966468.9655172415</v>
      </c>
    </row>
    <row r="24" spans="2:6" ht="76.5" x14ac:dyDescent="0.25">
      <c r="B24" s="559"/>
      <c r="C24" s="363">
        <v>1</v>
      </c>
      <c r="D24" s="349" t="s">
        <v>323</v>
      </c>
      <c r="E24" s="350" t="s">
        <v>66</v>
      </c>
      <c r="F24" s="362">
        <v>7465303.4482758623</v>
      </c>
    </row>
    <row r="25" spans="2:6" ht="63.75" x14ac:dyDescent="0.25">
      <c r="B25" s="559"/>
      <c r="C25" s="363">
        <v>1</v>
      </c>
      <c r="D25" s="349" t="s">
        <v>323</v>
      </c>
      <c r="E25" s="350" t="s">
        <v>332</v>
      </c>
      <c r="F25" s="362">
        <v>11197955.172413792</v>
      </c>
    </row>
    <row r="26" spans="2:6" ht="178.5" x14ac:dyDescent="0.25">
      <c r="B26" s="559"/>
      <c r="C26" s="363">
        <v>1</v>
      </c>
      <c r="D26" s="349" t="s">
        <v>323</v>
      </c>
      <c r="E26" s="350" t="s">
        <v>333</v>
      </c>
      <c r="F26" s="362">
        <v>19036523.793103445</v>
      </c>
    </row>
    <row r="27" spans="2:6" ht="76.5" x14ac:dyDescent="0.25">
      <c r="B27" s="559"/>
      <c r="C27" s="363">
        <v>1</v>
      </c>
      <c r="D27" s="349" t="s">
        <v>323</v>
      </c>
      <c r="E27" s="350" t="s">
        <v>334</v>
      </c>
      <c r="F27" s="362">
        <v>25388498.823529411</v>
      </c>
    </row>
    <row r="28" spans="2:6" x14ac:dyDescent="0.25">
      <c r="B28" s="559"/>
      <c r="C28" s="363">
        <v>1</v>
      </c>
      <c r="D28" s="349" t="s">
        <v>323</v>
      </c>
      <c r="E28" s="350" t="s">
        <v>335</v>
      </c>
      <c r="F28" s="362">
        <v>1733333.3333333333</v>
      </c>
    </row>
    <row r="29" spans="2:6" x14ac:dyDescent="0.25">
      <c r="B29" s="560"/>
      <c r="C29" s="363">
        <v>1</v>
      </c>
      <c r="D29" s="349" t="s">
        <v>323</v>
      </c>
      <c r="E29" s="350" t="s">
        <v>336</v>
      </c>
      <c r="F29" s="362">
        <v>2600000</v>
      </c>
    </row>
    <row r="30" spans="2:6" x14ac:dyDescent="0.25">
      <c r="B30" s="568" t="s">
        <v>67</v>
      </c>
      <c r="C30" s="363">
        <v>1</v>
      </c>
      <c r="D30" s="349" t="s">
        <v>323</v>
      </c>
      <c r="E30" s="350" t="s">
        <v>68</v>
      </c>
      <c r="F30" s="362">
        <v>75000</v>
      </c>
    </row>
    <row r="31" spans="2:6" x14ac:dyDescent="0.25">
      <c r="B31" s="568"/>
      <c r="C31" s="363">
        <v>1</v>
      </c>
      <c r="D31" s="349" t="s">
        <v>323</v>
      </c>
      <c r="E31" s="350" t="s">
        <v>69</v>
      </c>
      <c r="F31" s="362">
        <v>70000</v>
      </c>
    </row>
    <row r="32" spans="2:6" x14ac:dyDescent="0.25">
      <c r="B32" s="568"/>
      <c r="C32" s="363">
        <v>1</v>
      </c>
      <c r="D32" s="349" t="s">
        <v>323</v>
      </c>
      <c r="E32" s="350" t="s">
        <v>70</v>
      </c>
      <c r="F32" s="362">
        <v>90000</v>
      </c>
    </row>
    <row r="33" spans="2:6" x14ac:dyDescent="0.25">
      <c r="B33" s="558" t="s">
        <v>337</v>
      </c>
      <c r="C33" s="363">
        <v>1</v>
      </c>
      <c r="D33" s="349" t="s">
        <v>323</v>
      </c>
      <c r="E33" s="350" t="s">
        <v>338</v>
      </c>
      <c r="F33" s="362">
        <v>122500</v>
      </c>
    </row>
    <row r="34" spans="2:6" x14ac:dyDescent="0.25">
      <c r="B34" s="559"/>
      <c r="C34" s="363">
        <v>1</v>
      </c>
      <c r="D34" s="349" t="s">
        <v>323</v>
      </c>
      <c r="E34" s="350" t="s">
        <v>339</v>
      </c>
      <c r="F34" s="362">
        <v>245000</v>
      </c>
    </row>
    <row r="35" spans="2:6" x14ac:dyDescent="0.25">
      <c r="B35" s="559"/>
      <c r="C35" s="363">
        <v>1</v>
      </c>
      <c r="D35" s="349" t="s">
        <v>323</v>
      </c>
      <c r="E35" s="350" t="s">
        <v>340</v>
      </c>
      <c r="F35" s="362">
        <v>490000</v>
      </c>
    </row>
    <row r="36" spans="2:6" x14ac:dyDescent="0.25">
      <c r="B36" s="559"/>
      <c r="C36" s="363">
        <v>1</v>
      </c>
      <c r="D36" s="349" t="s">
        <v>323</v>
      </c>
      <c r="E36" s="350" t="s">
        <v>341</v>
      </c>
      <c r="F36" s="362">
        <v>980000</v>
      </c>
    </row>
    <row r="37" spans="2:6" x14ac:dyDescent="0.25">
      <c r="B37" s="559"/>
      <c r="C37" s="363">
        <v>1</v>
      </c>
      <c r="D37" s="349" t="s">
        <v>323</v>
      </c>
      <c r="E37" s="350" t="s">
        <v>342</v>
      </c>
      <c r="F37" s="362">
        <v>1960000</v>
      </c>
    </row>
    <row r="38" spans="2:6" x14ac:dyDescent="0.25">
      <c r="B38" s="559"/>
      <c r="C38" s="363">
        <v>1</v>
      </c>
      <c r="D38" s="349" t="s">
        <v>323</v>
      </c>
      <c r="E38" s="350" t="s">
        <v>343</v>
      </c>
      <c r="F38" s="362">
        <v>3430000</v>
      </c>
    </row>
    <row r="39" spans="2:6" x14ac:dyDescent="0.25">
      <c r="B39" s="559"/>
      <c r="C39" s="363">
        <v>1</v>
      </c>
      <c r="D39" s="349" t="s">
        <v>323</v>
      </c>
      <c r="E39" s="350" t="s">
        <v>344</v>
      </c>
      <c r="F39" s="362">
        <v>5145000</v>
      </c>
    </row>
    <row r="40" spans="2:6" x14ac:dyDescent="0.25">
      <c r="B40" s="559"/>
      <c r="C40" s="363">
        <v>1</v>
      </c>
      <c r="D40" s="349" t="s">
        <v>323</v>
      </c>
      <c r="E40" s="350" t="s">
        <v>345</v>
      </c>
      <c r="F40" s="362">
        <v>1547702.5862068967</v>
      </c>
    </row>
    <row r="41" spans="2:6" x14ac:dyDescent="0.25">
      <c r="B41" s="560"/>
      <c r="C41" s="363">
        <v>1</v>
      </c>
      <c r="D41" s="349" t="s">
        <v>323</v>
      </c>
      <c r="E41" s="350" t="s">
        <v>346</v>
      </c>
      <c r="F41" s="362">
        <v>1856128.4482758623</v>
      </c>
    </row>
    <row r="42" spans="2:6" x14ac:dyDescent="0.25">
      <c r="B42" s="364" t="s">
        <v>347</v>
      </c>
      <c r="C42" s="363">
        <v>1</v>
      </c>
      <c r="D42" s="349" t="s">
        <v>348</v>
      </c>
      <c r="E42" s="350" t="s">
        <v>349</v>
      </c>
      <c r="F42" s="362">
        <v>250000</v>
      </c>
    </row>
    <row r="43" spans="2:6" x14ac:dyDescent="0.25">
      <c r="B43" s="568" t="s">
        <v>71</v>
      </c>
      <c r="C43" s="349">
        <v>1</v>
      </c>
      <c r="D43" s="349" t="s">
        <v>323</v>
      </c>
      <c r="E43" s="350" t="s">
        <v>350</v>
      </c>
      <c r="F43" s="362">
        <v>7126436.7816091962</v>
      </c>
    </row>
    <row r="44" spans="2:6" x14ac:dyDescent="0.25">
      <c r="B44" s="568"/>
      <c r="C44" s="349">
        <v>1</v>
      </c>
      <c r="D44" s="349" t="s">
        <v>323</v>
      </c>
      <c r="E44" s="350" t="s">
        <v>351</v>
      </c>
      <c r="F44" s="362">
        <v>10689655.172413794</v>
      </c>
    </row>
    <row r="45" spans="2:6" x14ac:dyDescent="0.25">
      <c r="B45" s="568"/>
      <c r="C45" s="349">
        <v>1</v>
      </c>
      <c r="D45" s="349" t="s">
        <v>323</v>
      </c>
      <c r="E45" s="350" t="s">
        <v>72</v>
      </c>
      <c r="F45" s="362">
        <v>16034482.758620691</v>
      </c>
    </row>
    <row r="46" spans="2:6" x14ac:dyDescent="0.25">
      <c r="B46" s="568" t="s">
        <v>352</v>
      </c>
      <c r="C46" s="349">
        <v>1</v>
      </c>
      <c r="D46" s="349" t="s">
        <v>323</v>
      </c>
      <c r="E46" s="350" t="s">
        <v>353</v>
      </c>
      <c r="F46" s="362">
        <v>3563218.3908045981</v>
      </c>
    </row>
    <row r="47" spans="2:6" x14ac:dyDescent="0.25">
      <c r="B47" s="568"/>
      <c r="C47" s="349">
        <v>1</v>
      </c>
      <c r="D47" s="349" t="s">
        <v>323</v>
      </c>
      <c r="E47" s="350" t="s">
        <v>351</v>
      </c>
      <c r="F47" s="362">
        <v>5344827.5862068972</v>
      </c>
    </row>
    <row r="48" spans="2:6" x14ac:dyDescent="0.25">
      <c r="B48" s="568"/>
      <c r="C48" s="349">
        <v>1</v>
      </c>
      <c r="D48" s="349" t="s">
        <v>323</v>
      </c>
      <c r="E48" s="350" t="s">
        <v>72</v>
      </c>
      <c r="F48" s="362">
        <v>8017241.3793103453</v>
      </c>
    </row>
    <row r="49" spans="2:7" x14ac:dyDescent="0.25">
      <c r="B49" s="558" t="s">
        <v>354</v>
      </c>
      <c r="C49" s="349">
        <v>1</v>
      </c>
      <c r="D49" s="349" t="s">
        <v>323</v>
      </c>
      <c r="E49" s="350" t="s">
        <v>355</v>
      </c>
      <c r="F49" s="362">
        <v>137500</v>
      </c>
    </row>
    <row r="50" spans="2:7" x14ac:dyDescent="0.25">
      <c r="B50" s="559"/>
      <c r="C50" s="349">
        <v>1</v>
      </c>
      <c r="D50" s="349" t="s">
        <v>323</v>
      </c>
      <c r="E50" s="350" t="s">
        <v>356</v>
      </c>
      <c r="F50" s="362">
        <v>250000</v>
      </c>
    </row>
    <row r="51" spans="2:7" x14ac:dyDescent="0.25">
      <c r="B51" s="560"/>
      <c r="C51" s="349">
        <v>1</v>
      </c>
      <c r="D51" s="349" t="s">
        <v>323</v>
      </c>
      <c r="E51" s="350" t="s">
        <v>357</v>
      </c>
      <c r="F51" s="362">
        <v>337500</v>
      </c>
    </row>
    <row r="52" spans="2:7" ht="89.25" x14ac:dyDescent="0.25">
      <c r="B52" s="569" t="s">
        <v>358</v>
      </c>
      <c r="C52" s="349">
        <v>1</v>
      </c>
      <c r="D52" s="349" t="s">
        <v>348</v>
      </c>
      <c r="E52" s="350" t="s">
        <v>359</v>
      </c>
      <c r="F52" s="362">
        <v>150000</v>
      </c>
      <c r="G52" s="340">
        <f>+F52*30</f>
        <v>4500000</v>
      </c>
    </row>
    <row r="53" spans="2:7" ht="89.25" x14ac:dyDescent="0.25">
      <c r="B53" s="570"/>
      <c r="C53" s="349">
        <v>1</v>
      </c>
      <c r="D53" s="349" t="s">
        <v>348</v>
      </c>
      <c r="E53" s="350" t="s">
        <v>360</v>
      </c>
      <c r="F53" s="362">
        <v>150000</v>
      </c>
    </row>
    <row r="54" spans="2:7" ht="25.5" x14ac:dyDescent="0.25">
      <c r="B54" s="570"/>
      <c r="C54" s="349">
        <v>1</v>
      </c>
      <c r="D54" s="349" t="s">
        <v>348</v>
      </c>
      <c r="E54" s="350" t="s">
        <v>361</v>
      </c>
      <c r="F54" s="362">
        <v>250000</v>
      </c>
    </row>
    <row r="55" spans="2:7" x14ac:dyDescent="0.25">
      <c r="B55" s="571"/>
      <c r="C55" s="349">
        <v>1</v>
      </c>
      <c r="D55" s="349" t="s">
        <v>348</v>
      </c>
      <c r="E55" s="350" t="s">
        <v>362</v>
      </c>
      <c r="F55" s="362">
        <v>175000</v>
      </c>
    </row>
    <row r="56" spans="2:7" x14ac:dyDescent="0.25">
      <c r="B56" s="568" t="s">
        <v>73</v>
      </c>
      <c r="C56" s="349">
        <v>1</v>
      </c>
      <c r="D56" s="349" t="s">
        <v>363</v>
      </c>
      <c r="E56" s="350" t="s">
        <v>364</v>
      </c>
      <c r="F56" s="362">
        <v>1000000</v>
      </c>
    </row>
    <row r="57" spans="2:7" x14ac:dyDescent="0.25">
      <c r="B57" s="568"/>
      <c r="C57" s="349">
        <v>1</v>
      </c>
      <c r="D57" s="349" t="s">
        <v>363</v>
      </c>
      <c r="E57" s="350" t="s">
        <v>74</v>
      </c>
      <c r="F57" s="362">
        <v>1000000</v>
      </c>
    </row>
    <row r="58" spans="2:7" x14ac:dyDescent="0.25">
      <c r="B58" s="568"/>
      <c r="C58" s="349">
        <v>1</v>
      </c>
      <c r="D58" s="349" t="s">
        <v>363</v>
      </c>
      <c r="E58" s="350" t="s">
        <v>365</v>
      </c>
      <c r="F58" s="362">
        <v>2400000</v>
      </c>
    </row>
    <row r="59" spans="2:7" ht="38.25" x14ac:dyDescent="0.25">
      <c r="B59" s="348" t="s">
        <v>366</v>
      </c>
      <c r="C59" s="349">
        <v>1</v>
      </c>
      <c r="D59" s="349" t="s">
        <v>323</v>
      </c>
      <c r="E59" s="350" t="s">
        <v>367</v>
      </c>
      <c r="F59" s="362">
        <v>1200000</v>
      </c>
    </row>
    <row r="60" spans="2:7" ht="38.25" x14ac:dyDescent="0.25">
      <c r="B60" s="569" t="s">
        <v>368</v>
      </c>
      <c r="C60" s="349">
        <v>1</v>
      </c>
      <c r="D60" s="349" t="s">
        <v>369</v>
      </c>
      <c r="E60" s="350" t="s">
        <v>370</v>
      </c>
      <c r="F60" s="362">
        <v>570000</v>
      </c>
    </row>
    <row r="61" spans="2:7" ht="38.25" x14ac:dyDescent="0.25">
      <c r="B61" s="570"/>
      <c r="C61" s="349">
        <v>1</v>
      </c>
      <c r="D61" s="349" t="s">
        <v>369</v>
      </c>
      <c r="E61" s="350" t="s">
        <v>371</v>
      </c>
      <c r="F61" s="362">
        <v>581400</v>
      </c>
    </row>
    <row r="62" spans="2:7" ht="38.25" x14ac:dyDescent="0.25">
      <c r="B62" s="570"/>
      <c r="C62" s="349">
        <v>1</v>
      </c>
      <c r="D62" s="349" t="s">
        <v>369</v>
      </c>
      <c r="E62" s="350" t="s">
        <v>372</v>
      </c>
      <c r="F62" s="362">
        <v>593028</v>
      </c>
    </row>
    <row r="63" spans="2:7" ht="38.25" x14ac:dyDescent="0.25">
      <c r="B63" s="570"/>
      <c r="C63" s="349">
        <v>1</v>
      </c>
      <c r="D63" s="349" t="s">
        <v>369</v>
      </c>
      <c r="E63" s="350" t="s">
        <v>373</v>
      </c>
      <c r="F63" s="362">
        <v>604888.56000000006</v>
      </c>
    </row>
    <row r="64" spans="2:7" ht="38.25" x14ac:dyDescent="0.25">
      <c r="B64" s="571"/>
      <c r="C64" s="349">
        <v>1</v>
      </c>
      <c r="D64" s="349" t="s">
        <v>369</v>
      </c>
      <c r="E64" s="350" t="s">
        <v>374</v>
      </c>
      <c r="F64" s="362">
        <v>616986.33120000002</v>
      </c>
    </row>
    <row r="65" spans="2:6" x14ac:dyDescent="0.25">
      <c r="B65" s="558" t="s">
        <v>375</v>
      </c>
      <c r="C65" s="349">
        <v>1</v>
      </c>
      <c r="D65" s="349" t="s">
        <v>323</v>
      </c>
      <c r="E65" s="350" t="s">
        <v>376</v>
      </c>
      <c r="F65" s="362">
        <v>350000</v>
      </c>
    </row>
    <row r="66" spans="2:6" x14ac:dyDescent="0.25">
      <c r="B66" s="559"/>
      <c r="C66" s="349">
        <v>1</v>
      </c>
      <c r="D66" s="349" t="s">
        <v>323</v>
      </c>
      <c r="E66" s="350" t="s">
        <v>377</v>
      </c>
      <c r="F66" s="362">
        <v>1200000</v>
      </c>
    </row>
    <row r="67" spans="2:6" x14ac:dyDescent="0.25">
      <c r="B67" s="559"/>
      <c r="C67" s="349">
        <v>1</v>
      </c>
      <c r="D67" s="349" t="s">
        <v>323</v>
      </c>
      <c r="E67" s="350" t="s">
        <v>378</v>
      </c>
      <c r="F67" s="362">
        <v>1800000</v>
      </c>
    </row>
    <row r="68" spans="2:6" x14ac:dyDescent="0.25">
      <c r="B68" s="559"/>
      <c r="C68" s="349">
        <v>1</v>
      </c>
      <c r="D68" s="349" t="s">
        <v>323</v>
      </c>
      <c r="E68" s="350" t="s">
        <v>379</v>
      </c>
      <c r="F68" s="362">
        <v>2700000</v>
      </c>
    </row>
    <row r="69" spans="2:6" x14ac:dyDescent="0.25">
      <c r="B69" s="559"/>
      <c r="C69" s="349">
        <v>1</v>
      </c>
      <c r="D69" s="349" t="s">
        <v>323</v>
      </c>
      <c r="E69" s="350" t="s">
        <v>380</v>
      </c>
      <c r="F69" s="362">
        <v>525000</v>
      </c>
    </row>
    <row r="70" spans="2:6" x14ac:dyDescent="0.25">
      <c r="B70" s="560"/>
      <c r="C70" s="349">
        <v>1</v>
      </c>
      <c r="D70" s="349" t="s">
        <v>323</v>
      </c>
      <c r="E70" s="350" t="s">
        <v>381</v>
      </c>
      <c r="F70" s="362">
        <v>4050000</v>
      </c>
    </row>
    <row r="71" spans="2:6" x14ac:dyDescent="0.25">
      <c r="B71" s="558" t="s">
        <v>382</v>
      </c>
      <c r="C71" s="349">
        <v>1</v>
      </c>
      <c r="D71" s="349" t="s">
        <v>323</v>
      </c>
      <c r="E71" s="350" t="s">
        <v>383</v>
      </c>
      <c r="F71" s="362">
        <v>1104000</v>
      </c>
    </row>
    <row r="72" spans="2:6" x14ac:dyDescent="0.25">
      <c r="B72" s="559"/>
      <c r="C72" s="349">
        <v>1</v>
      </c>
      <c r="D72" s="349" t="s">
        <v>323</v>
      </c>
      <c r="E72" s="350" t="s">
        <v>384</v>
      </c>
      <c r="F72" s="362">
        <v>1656000</v>
      </c>
    </row>
    <row r="73" spans="2:6" x14ac:dyDescent="0.25">
      <c r="B73" s="559"/>
      <c r="C73" s="349">
        <v>2</v>
      </c>
      <c r="D73" s="349" t="s">
        <v>385</v>
      </c>
      <c r="E73" s="350" t="s">
        <v>386</v>
      </c>
      <c r="F73" s="362">
        <v>4416000</v>
      </c>
    </row>
    <row r="74" spans="2:6" x14ac:dyDescent="0.25">
      <c r="B74" s="560"/>
      <c r="C74" s="349">
        <v>1</v>
      </c>
      <c r="D74" s="349" t="s">
        <v>323</v>
      </c>
      <c r="E74" s="350" t="s">
        <v>387</v>
      </c>
      <c r="F74" s="362">
        <v>4968000</v>
      </c>
    </row>
    <row r="75" spans="2:6" x14ac:dyDescent="0.25">
      <c r="B75" s="558" t="s">
        <v>388</v>
      </c>
      <c r="C75" s="349">
        <v>1</v>
      </c>
      <c r="D75" s="349" t="s">
        <v>348</v>
      </c>
      <c r="E75" s="350" t="s">
        <v>389</v>
      </c>
      <c r="F75" s="362">
        <v>1400</v>
      </c>
    </row>
    <row r="76" spans="2:6" x14ac:dyDescent="0.25">
      <c r="B76" s="559"/>
      <c r="C76" s="349">
        <v>1</v>
      </c>
      <c r="D76" s="349" t="s">
        <v>348</v>
      </c>
      <c r="E76" s="350" t="s">
        <v>390</v>
      </c>
      <c r="F76" s="362">
        <v>9000</v>
      </c>
    </row>
    <row r="77" spans="2:6" x14ac:dyDescent="0.25">
      <c r="B77" s="559"/>
      <c r="C77" s="349">
        <v>1</v>
      </c>
      <c r="D77" s="349" t="s">
        <v>348</v>
      </c>
      <c r="E77" s="350" t="s">
        <v>391</v>
      </c>
      <c r="F77" s="362">
        <v>10000</v>
      </c>
    </row>
    <row r="78" spans="2:6" x14ac:dyDescent="0.25">
      <c r="B78" s="560"/>
      <c r="C78" s="349">
        <v>1</v>
      </c>
      <c r="D78" s="349" t="s">
        <v>348</v>
      </c>
      <c r="E78" s="365" t="s">
        <v>392</v>
      </c>
      <c r="F78" s="362">
        <v>75000</v>
      </c>
    </row>
    <row r="79" spans="2:6" x14ac:dyDescent="0.25">
      <c r="B79" s="558" t="s">
        <v>393</v>
      </c>
      <c r="C79" s="349">
        <v>1</v>
      </c>
      <c r="D79" s="349" t="s">
        <v>348</v>
      </c>
      <c r="E79" s="350" t="s">
        <v>394</v>
      </c>
      <c r="F79" s="362">
        <v>20000</v>
      </c>
    </row>
    <row r="80" spans="2:6" x14ac:dyDescent="0.25">
      <c r="B80" s="559"/>
      <c r="C80" s="349">
        <v>1</v>
      </c>
      <c r="D80" s="349" t="s">
        <v>348</v>
      </c>
      <c r="E80" s="350" t="s">
        <v>395</v>
      </c>
      <c r="F80" s="362">
        <v>17000</v>
      </c>
    </row>
    <row r="81" spans="2:6" x14ac:dyDescent="0.25">
      <c r="B81" s="560"/>
      <c r="C81" s="349">
        <v>1</v>
      </c>
      <c r="D81" s="349" t="s">
        <v>348</v>
      </c>
      <c r="E81" s="350" t="s">
        <v>396</v>
      </c>
      <c r="F81" s="362">
        <v>18000</v>
      </c>
    </row>
    <row r="82" spans="2:6" x14ac:dyDescent="0.25">
      <c r="B82" s="558" t="s">
        <v>397</v>
      </c>
      <c r="C82" s="349">
        <v>1</v>
      </c>
      <c r="D82" s="349" t="s">
        <v>348</v>
      </c>
      <c r="E82" s="350" t="s">
        <v>398</v>
      </c>
      <c r="F82" s="362">
        <v>16000</v>
      </c>
    </row>
    <row r="83" spans="2:6" x14ac:dyDescent="0.25">
      <c r="B83" s="559"/>
      <c r="C83" s="349">
        <v>1</v>
      </c>
      <c r="D83" s="349" t="s">
        <v>348</v>
      </c>
      <c r="E83" s="350" t="s">
        <v>399</v>
      </c>
      <c r="F83" s="362">
        <v>17000</v>
      </c>
    </row>
    <row r="84" spans="2:6" x14ac:dyDescent="0.25">
      <c r="B84" s="560"/>
      <c r="C84" s="349">
        <v>1</v>
      </c>
      <c r="D84" s="349" t="s">
        <v>348</v>
      </c>
      <c r="E84" s="350" t="s">
        <v>400</v>
      </c>
      <c r="F84" s="362">
        <v>15000</v>
      </c>
    </row>
    <row r="85" spans="2:6" ht="25.5" x14ac:dyDescent="0.25">
      <c r="B85" s="366" t="s">
        <v>401</v>
      </c>
      <c r="C85" s="367">
        <v>1</v>
      </c>
      <c r="D85" s="349" t="s">
        <v>348</v>
      </c>
      <c r="E85" s="350" t="s">
        <v>402</v>
      </c>
      <c r="F85" s="362">
        <v>18000</v>
      </c>
    </row>
    <row r="86" spans="2:6" x14ac:dyDescent="0.25">
      <c r="B86" s="558" t="s">
        <v>403</v>
      </c>
      <c r="C86" s="349">
        <v>1</v>
      </c>
      <c r="D86" s="349" t="s">
        <v>348</v>
      </c>
      <c r="E86" s="350" t="s">
        <v>404</v>
      </c>
      <c r="F86" s="362">
        <v>525000</v>
      </c>
    </row>
    <row r="87" spans="2:6" x14ac:dyDescent="0.25">
      <c r="B87" s="559"/>
      <c r="C87" s="349">
        <v>1</v>
      </c>
      <c r="D87" s="349" t="s">
        <v>348</v>
      </c>
      <c r="E87" s="350" t="s">
        <v>405</v>
      </c>
      <c r="F87" s="362">
        <v>325000</v>
      </c>
    </row>
    <row r="88" spans="2:6" x14ac:dyDescent="0.25">
      <c r="B88" s="572" t="s">
        <v>406</v>
      </c>
      <c r="C88" s="349">
        <v>1</v>
      </c>
      <c r="D88" s="349" t="s">
        <v>407</v>
      </c>
      <c r="E88" s="368" t="s">
        <v>408</v>
      </c>
      <c r="F88" s="362">
        <v>300000</v>
      </c>
    </row>
    <row r="89" spans="2:6" x14ac:dyDescent="0.25">
      <c r="B89" s="572"/>
      <c r="C89" s="349">
        <v>1</v>
      </c>
      <c r="D89" s="349" t="s">
        <v>409</v>
      </c>
      <c r="E89" s="368" t="s">
        <v>410</v>
      </c>
      <c r="F89" s="362">
        <v>300000</v>
      </c>
    </row>
    <row r="90" spans="2:6" ht="25.5" x14ac:dyDescent="0.25">
      <c r="B90" s="572"/>
      <c r="C90" s="349">
        <v>1</v>
      </c>
      <c r="D90" s="349" t="s">
        <v>409</v>
      </c>
      <c r="E90" s="368" t="s">
        <v>411</v>
      </c>
      <c r="F90" s="362">
        <v>300000</v>
      </c>
    </row>
    <row r="91" spans="2:6" ht="25.5" x14ac:dyDescent="0.25">
      <c r="B91" s="369" t="s">
        <v>412</v>
      </c>
      <c r="C91" s="349">
        <v>1</v>
      </c>
      <c r="D91" s="349" t="s">
        <v>413</v>
      </c>
      <c r="E91" s="368" t="s">
        <v>414</v>
      </c>
      <c r="F91" s="362">
        <v>200000</v>
      </c>
    </row>
    <row r="92" spans="2:6" ht="63.75" x14ac:dyDescent="0.25">
      <c r="B92" s="369" t="s">
        <v>415</v>
      </c>
      <c r="C92" s="349">
        <v>1</v>
      </c>
      <c r="D92" s="349" t="s">
        <v>416</v>
      </c>
      <c r="E92" s="368" t="s">
        <v>417</v>
      </c>
      <c r="F92" s="362">
        <v>3400000</v>
      </c>
    </row>
    <row r="93" spans="2:6" x14ac:dyDescent="0.25">
      <c r="B93" s="568" t="s">
        <v>418</v>
      </c>
      <c r="C93" s="349">
        <v>1</v>
      </c>
      <c r="D93" s="349" t="s">
        <v>75</v>
      </c>
      <c r="E93" s="350" t="s">
        <v>419</v>
      </c>
      <c r="F93" s="362">
        <v>913000.00000000012</v>
      </c>
    </row>
    <row r="94" spans="2:6" x14ac:dyDescent="0.25">
      <c r="B94" s="568"/>
      <c r="C94" s="349">
        <v>1</v>
      </c>
      <c r="D94" s="349" t="s">
        <v>75</v>
      </c>
      <c r="E94" s="350" t="s">
        <v>420</v>
      </c>
      <c r="F94" s="362">
        <v>510000</v>
      </c>
    </row>
    <row r="95" spans="2:6" x14ac:dyDescent="0.25">
      <c r="B95" s="568"/>
      <c r="C95" s="349">
        <v>1</v>
      </c>
      <c r="D95" s="349" t="s">
        <v>75</v>
      </c>
      <c r="E95" s="350" t="s">
        <v>421</v>
      </c>
      <c r="F95" s="362">
        <v>360000</v>
      </c>
    </row>
    <row r="96" spans="2:6" x14ac:dyDescent="0.25">
      <c r="B96" s="568"/>
      <c r="C96" s="349">
        <v>1</v>
      </c>
      <c r="D96" s="349" t="s">
        <v>75</v>
      </c>
      <c r="E96" s="350" t="s">
        <v>422</v>
      </c>
      <c r="F96" s="362">
        <v>300000</v>
      </c>
    </row>
    <row r="97" spans="2:7" x14ac:dyDescent="0.25">
      <c r="B97" s="568"/>
      <c r="C97" s="349">
        <v>1</v>
      </c>
      <c r="D97" s="349" t="s">
        <v>75</v>
      </c>
      <c r="E97" s="350" t="s">
        <v>423</v>
      </c>
      <c r="F97" s="362">
        <v>500000</v>
      </c>
    </row>
    <row r="98" spans="2:7" x14ac:dyDescent="0.25">
      <c r="B98" s="568"/>
      <c r="C98" s="349">
        <v>1</v>
      </c>
      <c r="D98" s="349" t="s">
        <v>75</v>
      </c>
      <c r="E98" s="350" t="s">
        <v>424</v>
      </c>
      <c r="F98" s="362">
        <v>720000</v>
      </c>
    </row>
    <row r="99" spans="2:7" x14ac:dyDescent="0.25">
      <c r="B99" s="568" t="s">
        <v>425</v>
      </c>
      <c r="C99" s="349">
        <v>1</v>
      </c>
      <c r="D99" s="370" t="s">
        <v>75</v>
      </c>
      <c r="E99" s="350" t="s">
        <v>426</v>
      </c>
      <c r="F99" s="362">
        <v>6670000</v>
      </c>
    </row>
    <row r="100" spans="2:7" x14ac:dyDescent="0.25">
      <c r="B100" s="568"/>
      <c r="C100" s="349">
        <v>1</v>
      </c>
      <c r="D100" s="370" t="s">
        <v>75</v>
      </c>
      <c r="E100" s="350" t="s">
        <v>427</v>
      </c>
      <c r="F100" s="362">
        <v>3335000</v>
      </c>
    </row>
    <row r="101" spans="2:7" x14ac:dyDescent="0.25">
      <c r="B101" s="568"/>
      <c r="C101" s="349">
        <v>1</v>
      </c>
      <c r="D101" s="370" t="s">
        <v>75</v>
      </c>
      <c r="E101" s="350" t="s">
        <v>428</v>
      </c>
      <c r="F101" s="362">
        <v>2000000</v>
      </c>
    </row>
    <row r="102" spans="2:7" x14ac:dyDescent="0.25">
      <c r="B102" s="568"/>
      <c r="C102" s="349">
        <v>1</v>
      </c>
      <c r="D102" s="370" t="s">
        <v>75</v>
      </c>
      <c r="E102" s="350" t="s">
        <v>429</v>
      </c>
      <c r="F102" s="362">
        <v>1000000</v>
      </c>
    </row>
    <row r="103" spans="2:7" x14ac:dyDescent="0.25">
      <c r="B103" s="568"/>
      <c r="C103" s="349">
        <v>1</v>
      </c>
      <c r="D103" s="370" t="s">
        <v>75</v>
      </c>
      <c r="E103" s="350" t="s">
        <v>430</v>
      </c>
      <c r="F103" s="362">
        <v>500000</v>
      </c>
    </row>
    <row r="104" spans="2:7" x14ac:dyDescent="0.25">
      <c r="B104" s="569" t="s">
        <v>431</v>
      </c>
      <c r="C104" s="349">
        <v>1</v>
      </c>
      <c r="D104" s="370" t="s">
        <v>348</v>
      </c>
      <c r="E104" s="350" t="s">
        <v>432</v>
      </c>
      <c r="F104" s="362">
        <v>77000</v>
      </c>
    </row>
    <row r="105" spans="2:7" x14ac:dyDescent="0.25">
      <c r="B105" s="570"/>
      <c r="C105" s="349">
        <v>1</v>
      </c>
      <c r="D105" s="370" t="s">
        <v>348</v>
      </c>
      <c r="E105" s="350" t="s">
        <v>433</v>
      </c>
      <c r="F105" s="362">
        <v>192500</v>
      </c>
    </row>
    <row r="106" spans="2:7" x14ac:dyDescent="0.25">
      <c r="B106" s="570"/>
      <c r="C106" s="349">
        <v>1</v>
      </c>
      <c r="D106" s="370" t="s">
        <v>348</v>
      </c>
      <c r="E106" s="350" t="s">
        <v>434</v>
      </c>
      <c r="F106" s="362">
        <v>385000</v>
      </c>
    </row>
    <row r="107" spans="2:7" x14ac:dyDescent="0.25">
      <c r="B107" s="570"/>
      <c r="C107" s="349">
        <v>1</v>
      </c>
      <c r="D107" s="370" t="s">
        <v>348</v>
      </c>
      <c r="E107" s="350" t="s">
        <v>435</v>
      </c>
      <c r="F107" s="362">
        <v>400000</v>
      </c>
    </row>
    <row r="108" spans="2:7" x14ac:dyDescent="0.25">
      <c r="B108" s="571"/>
      <c r="C108" s="349">
        <v>1</v>
      </c>
      <c r="D108" s="370" t="s">
        <v>348</v>
      </c>
      <c r="E108" s="350" t="s">
        <v>436</v>
      </c>
      <c r="F108" s="362">
        <v>450000</v>
      </c>
    </row>
    <row r="109" spans="2:7" ht="51" x14ac:dyDescent="0.25">
      <c r="B109" s="558" t="s">
        <v>76</v>
      </c>
      <c r="C109" s="349">
        <v>1</v>
      </c>
      <c r="D109" s="349" t="s">
        <v>190</v>
      </c>
      <c r="E109" s="350" t="s">
        <v>437</v>
      </c>
      <c r="F109" s="362">
        <v>3000000</v>
      </c>
    </row>
    <row r="110" spans="2:7" ht="38.25" x14ac:dyDescent="0.25">
      <c r="B110" s="560"/>
      <c r="C110" s="349">
        <v>1</v>
      </c>
      <c r="D110" s="349" t="s">
        <v>190</v>
      </c>
      <c r="E110" s="350" t="s">
        <v>438</v>
      </c>
      <c r="F110" s="362">
        <v>12000000</v>
      </c>
      <c r="G110" s="340" t="s">
        <v>110</v>
      </c>
    </row>
    <row r="111" spans="2:7" ht="51" x14ac:dyDescent="0.25">
      <c r="B111" s="364" t="s">
        <v>439</v>
      </c>
      <c r="C111" s="371">
        <v>1</v>
      </c>
      <c r="D111" s="367" t="s">
        <v>440</v>
      </c>
      <c r="E111" s="368" t="s">
        <v>441</v>
      </c>
      <c r="F111" s="397">
        <v>6000000</v>
      </c>
    </row>
    <row r="112" spans="2:7" x14ac:dyDescent="0.25">
      <c r="B112" s="568" t="s">
        <v>442</v>
      </c>
      <c r="C112" s="371">
        <v>1</v>
      </c>
      <c r="D112" s="367" t="s">
        <v>77</v>
      </c>
      <c r="E112" s="350" t="s">
        <v>443</v>
      </c>
      <c r="F112" s="362">
        <v>800</v>
      </c>
    </row>
    <row r="113" spans="2:6" x14ac:dyDescent="0.25">
      <c r="B113" s="568"/>
      <c r="C113" s="371">
        <v>1</v>
      </c>
      <c r="D113" s="367" t="s">
        <v>77</v>
      </c>
      <c r="E113" s="350" t="s">
        <v>444</v>
      </c>
      <c r="F113" s="362">
        <v>1000</v>
      </c>
    </row>
    <row r="114" spans="2:6" x14ac:dyDescent="0.25">
      <c r="B114" s="568"/>
      <c r="C114" s="371">
        <v>1</v>
      </c>
      <c r="D114" s="367" t="s">
        <v>77</v>
      </c>
      <c r="E114" s="350" t="s">
        <v>445</v>
      </c>
      <c r="F114" s="362">
        <v>500</v>
      </c>
    </row>
    <row r="115" spans="2:6" x14ac:dyDescent="0.25">
      <c r="B115" s="568"/>
      <c r="C115" s="371">
        <v>1</v>
      </c>
      <c r="D115" s="367" t="s">
        <v>77</v>
      </c>
      <c r="E115" s="350" t="s">
        <v>446</v>
      </c>
      <c r="F115" s="362">
        <v>9000</v>
      </c>
    </row>
    <row r="116" spans="2:6" ht="25.5" x14ac:dyDescent="0.25">
      <c r="B116" s="568" t="s">
        <v>447</v>
      </c>
      <c r="C116" s="349" t="s">
        <v>448</v>
      </c>
      <c r="D116" s="370" t="s">
        <v>416</v>
      </c>
      <c r="E116" s="350" t="s">
        <v>449</v>
      </c>
      <c r="F116" s="362">
        <v>1500</v>
      </c>
    </row>
    <row r="117" spans="2:6" ht="25.5" x14ac:dyDescent="0.25">
      <c r="B117" s="568"/>
      <c r="C117" s="349" t="s">
        <v>448</v>
      </c>
      <c r="D117" s="370" t="s">
        <v>416</v>
      </c>
      <c r="E117" s="350" t="s">
        <v>450</v>
      </c>
      <c r="F117" s="362">
        <v>1350</v>
      </c>
    </row>
    <row r="118" spans="2:6" ht="26.25" thickBot="1" x14ac:dyDescent="0.3">
      <c r="B118" s="573"/>
      <c r="C118" s="353" t="s">
        <v>448</v>
      </c>
      <c r="D118" s="372" t="s">
        <v>416</v>
      </c>
      <c r="E118" s="354" t="s">
        <v>451</v>
      </c>
      <c r="F118" s="362">
        <v>850</v>
      </c>
    </row>
    <row r="119" spans="2:6" ht="14.25" customHeight="1" thickBot="1" x14ac:dyDescent="0.3">
      <c r="B119" s="565" t="s">
        <v>452</v>
      </c>
      <c r="C119" s="566"/>
      <c r="D119" s="566"/>
      <c r="E119" s="566"/>
      <c r="F119" s="373">
        <f>SUM(F17:F118)</f>
        <v>220501297.91013172</v>
      </c>
    </row>
    <row r="120" spans="2:6" ht="13.5" thickBot="1" x14ac:dyDescent="0.3">
      <c r="B120" s="357"/>
      <c r="C120" s="358"/>
      <c r="D120" s="358"/>
      <c r="E120" s="357"/>
      <c r="F120" s="359"/>
    </row>
    <row r="121" spans="2:6" x14ac:dyDescent="0.25">
      <c r="B121" s="563" t="s">
        <v>453</v>
      </c>
      <c r="C121" s="564"/>
      <c r="D121" s="564"/>
      <c r="E121" s="564"/>
      <c r="F121" s="564"/>
    </row>
    <row r="122" spans="2:6" ht="25.5" x14ac:dyDescent="0.25">
      <c r="B122" s="374" t="s">
        <v>62</v>
      </c>
      <c r="C122" s="345" t="s">
        <v>63</v>
      </c>
      <c r="D122" s="345" t="s">
        <v>64</v>
      </c>
      <c r="E122" s="375" t="s">
        <v>65</v>
      </c>
      <c r="F122" s="347" t="s">
        <v>309</v>
      </c>
    </row>
    <row r="123" spans="2:6" ht="38.25" x14ac:dyDescent="0.25">
      <c r="B123" s="574" t="s">
        <v>454</v>
      </c>
      <c r="C123" s="349">
        <v>1</v>
      </c>
      <c r="D123" s="349" t="s">
        <v>455</v>
      </c>
      <c r="E123" s="368" t="s">
        <v>456</v>
      </c>
      <c r="F123" s="362">
        <v>10360000</v>
      </c>
    </row>
    <row r="124" spans="2:6" ht="38.25" x14ac:dyDescent="0.25">
      <c r="B124" s="575"/>
      <c r="C124" s="349">
        <v>1</v>
      </c>
      <c r="D124" s="349" t="s">
        <v>455</v>
      </c>
      <c r="E124" s="368" t="s">
        <v>457</v>
      </c>
      <c r="F124" s="362">
        <v>5200050</v>
      </c>
    </row>
    <row r="125" spans="2:6" ht="25.5" x14ac:dyDescent="0.25">
      <c r="B125" s="575"/>
      <c r="C125" s="349">
        <v>1</v>
      </c>
      <c r="D125" s="349" t="s">
        <v>455</v>
      </c>
      <c r="E125" s="368" t="s">
        <v>458</v>
      </c>
      <c r="F125" s="362">
        <v>150000</v>
      </c>
    </row>
    <row r="126" spans="2:6" ht="89.25" x14ac:dyDescent="0.25">
      <c r="B126" s="575"/>
      <c r="C126" s="349">
        <v>1</v>
      </c>
      <c r="D126" s="349" t="s">
        <v>459</v>
      </c>
      <c r="E126" s="368" t="s">
        <v>460</v>
      </c>
      <c r="F126" s="362">
        <v>1800000</v>
      </c>
    </row>
    <row r="127" spans="2:6" ht="63.75" x14ac:dyDescent="0.25">
      <c r="B127" s="575"/>
      <c r="C127" s="349">
        <v>1</v>
      </c>
      <c r="D127" s="349" t="s">
        <v>461</v>
      </c>
      <c r="E127" s="368" t="s">
        <v>462</v>
      </c>
      <c r="F127" s="362">
        <v>25000</v>
      </c>
    </row>
    <row r="128" spans="2:6" ht="51" x14ac:dyDescent="0.25">
      <c r="B128" s="575"/>
      <c r="C128" s="349">
        <v>1</v>
      </c>
      <c r="D128" s="349" t="s">
        <v>463</v>
      </c>
      <c r="E128" s="368" t="s">
        <v>464</v>
      </c>
      <c r="F128" s="362">
        <v>100</v>
      </c>
    </row>
    <row r="129" spans="2:6" ht="165.75" x14ac:dyDescent="0.25">
      <c r="B129" s="575"/>
      <c r="C129" s="349">
        <v>1</v>
      </c>
      <c r="D129" s="349" t="s">
        <v>465</v>
      </c>
      <c r="E129" s="368" t="s">
        <v>466</v>
      </c>
      <c r="F129" s="362">
        <v>100</v>
      </c>
    </row>
    <row r="130" spans="2:6" ht="153" x14ac:dyDescent="0.25">
      <c r="B130" s="575"/>
      <c r="C130" s="349">
        <v>1</v>
      </c>
      <c r="D130" s="349" t="s">
        <v>467</v>
      </c>
      <c r="E130" s="368" t="s">
        <v>468</v>
      </c>
      <c r="F130" s="362">
        <v>300000</v>
      </c>
    </row>
    <row r="131" spans="2:6" ht="51" x14ac:dyDescent="0.25">
      <c r="B131" s="575"/>
      <c r="C131" s="349">
        <v>1</v>
      </c>
      <c r="D131" s="349" t="s">
        <v>469</v>
      </c>
      <c r="E131" s="368" t="s">
        <v>470</v>
      </c>
      <c r="F131" s="362">
        <v>190000</v>
      </c>
    </row>
    <row r="132" spans="2:6" ht="178.5" x14ac:dyDescent="0.25">
      <c r="B132" s="575"/>
      <c r="C132" s="349">
        <v>1</v>
      </c>
      <c r="D132" s="349" t="s">
        <v>471</v>
      </c>
      <c r="E132" s="368" t="s">
        <v>472</v>
      </c>
      <c r="F132" s="362">
        <v>400000</v>
      </c>
    </row>
    <row r="133" spans="2:6" ht="76.5" x14ac:dyDescent="0.25">
      <c r="B133" s="575"/>
      <c r="C133" s="349">
        <v>1</v>
      </c>
      <c r="D133" s="349" t="s">
        <v>473</v>
      </c>
      <c r="E133" s="368" t="s">
        <v>474</v>
      </c>
      <c r="F133" s="362">
        <v>7000000</v>
      </c>
    </row>
    <row r="134" spans="2:6" ht="63.75" x14ac:dyDescent="0.25">
      <c r="B134" s="575"/>
      <c r="C134" s="349">
        <v>1</v>
      </c>
      <c r="D134" s="349" t="s">
        <v>475</v>
      </c>
      <c r="E134" s="368" t="s">
        <v>476</v>
      </c>
      <c r="F134" s="362">
        <v>300000</v>
      </c>
    </row>
    <row r="135" spans="2:6" ht="127.5" x14ac:dyDescent="0.25">
      <c r="B135" s="575"/>
      <c r="C135" s="349">
        <v>1</v>
      </c>
      <c r="D135" s="349" t="s">
        <v>477</v>
      </c>
      <c r="E135" s="368" t="s">
        <v>478</v>
      </c>
      <c r="F135" s="362">
        <v>13000</v>
      </c>
    </row>
    <row r="136" spans="2:6" ht="191.25" x14ac:dyDescent="0.25">
      <c r="B136" s="575"/>
      <c r="C136" s="349">
        <v>1</v>
      </c>
      <c r="D136" s="349" t="s">
        <v>479</v>
      </c>
      <c r="E136" s="368" t="s">
        <v>480</v>
      </c>
      <c r="F136" s="362">
        <v>35000</v>
      </c>
    </row>
    <row r="137" spans="2:6" ht="216.75" x14ac:dyDescent="0.25">
      <c r="B137" s="575"/>
      <c r="C137" s="349">
        <v>1</v>
      </c>
      <c r="D137" s="349" t="s">
        <v>481</v>
      </c>
      <c r="E137" s="368" t="s">
        <v>482</v>
      </c>
      <c r="F137" s="362">
        <v>40000</v>
      </c>
    </row>
    <row r="138" spans="2:6" ht="76.5" x14ac:dyDescent="0.25">
      <c r="B138" s="575"/>
      <c r="C138" s="349">
        <v>1</v>
      </c>
      <c r="D138" s="349" t="s">
        <v>483</v>
      </c>
      <c r="E138" s="368" t="s">
        <v>484</v>
      </c>
      <c r="F138" s="362">
        <v>1650000</v>
      </c>
    </row>
    <row r="139" spans="2:6" ht="76.5" x14ac:dyDescent="0.25">
      <c r="B139" s="575"/>
      <c r="C139" s="349">
        <v>1</v>
      </c>
      <c r="D139" s="349" t="s">
        <v>485</v>
      </c>
      <c r="E139" s="368" t="s">
        <v>486</v>
      </c>
      <c r="F139" s="362">
        <v>1000000</v>
      </c>
    </row>
    <row r="140" spans="2:6" ht="90" thickBot="1" x14ac:dyDescent="0.3">
      <c r="B140" s="576"/>
      <c r="C140" s="353">
        <v>1</v>
      </c>
      <c r="D140" s="353" t="s">
        <v>487</v>
      </c>
      <c r="E140" s="376" t="s">
        <v>488</v>
      </c>
      <c r="F140" s="362">
        <v>250000</v>
      </c>
    </row>
    <row r="141" spans="2:6" ht="10.9" customHeight="1" thickBot="1" x14ac:dyDescent="0.3">
      <c r="B141" s="565" t="s">
        <v>489</v>
      </c>
      <c r="C141" s="566"/>
      <c r="D141" s="566"/>
      <c r="E141" s="566"/>
      <c r="F141" s="373">
        <f>SUM(F123:F140)</f>
        <v>28713250</v>
      </c>
    </row>
    <row r="142" spans="2:6" ht="13.5" thickBot="1" x14ac:dyDescent="0.3">
      <c r="B142" s="377"/>
      <c r="C142" s="377"/>
      <c r="D142" s="377"/>
      <c r="E142" s="377"/>
      <c r="F142" s="378"/>
    </row>
    <row r="143" spans="2:6" x14ac:dyDescent="0.25">
      <c r="B143" s="563" t="s">
        <v>490</v>
      </c>
      <c r="C143" s="564"/>
      <c r="D143" s="564"/>
      <c r="E143" s="564"/>
      <c r="F143" s="564"/>
    </row>
    <row r="144" spans="2:6" ht="25.5" x14ac:dyDescent="0.25">
      <c r="B144" s="374" t="s">
        <v>62</v>
      </c>
      <c r="C144" s="345" t="s">
        <v>63</v>
      </c>
      <c r="D144" s="345" t="s">
        <v>64</v>
      </c>
      <c r="E144" s="375" t="s">
        <v>65</v>
      </c>
      <c r="F144" s="379" t="s">
        <v>309</v>
      </c>
    </row>
    <row r="145" spans="2:6" ht="102" x14ac:dyDescent="0.25">
      <c r="B145" s="577" t="s">
        <v>491</v>
      </c>
      <c r="C145" s="349">
        <v>1</v>
      </c>
      <c r="D145" s="349" t="s">
        <v>492</v>
      </c>
      <c r="E145" s="368" t="s">
        <v>493</v>
      </c>
      <c r="F145" s="362">
        <v>1500</v>
      </c>
    </row>
    <row r="146" spans="2:6" ht="111" customHeight="1" x14ac:dyDescent="0.25">
      <c r="B146" s="578"/>
      <c r="C146" s="349">
        <v>1</v>
      </c>
      <c r="D146" s="349" t="s">
        <v>494</v>
      </c>
      <c r="E146" s="368" t="s">
        <v>495</v>
      </c>
      <c r="F146" s="362">
        <v>13000</v>
      </c>
    </row>
    <row r="147" spans="2:6" ht="38.25" x14ac:dyDescent="0.25">
      <c r="B147" s="578"/>
      <c r="C147" s="349">
        <v>1</v>
      </c>
      <c r="D147" s="349" t="s">
        <v>496</v>
      </c>
      <c r="E147" s="368" t="s">
        <v>497</v>
      </c>
      <c r="F147" s="362">
        <v>15000</v>
      </c>
    </row>
    <row r="148" spans="2:6" ht="78" customHeight="1" x14ac:dyDescent="0.25">
      <c r="B148" s="578"/>
      <c r="C148" s="349">
        <v>1</v>
      </c>
      <c r="D148" s="349" t="s">
        <v>498</v>
      </c>
      <c r="E148" s="368" t="s">
        <v>499</v>
      </c>
      <c r="F148" s="362">
        <v>286800</v>
      </c>
    </row>
    <row r="149" spans="2:6" ht="25.5" x14ac:dyDescent="0.25">
      <c r="B149" s="578"/>
      <c r="C149" s="349">
        <v>1</v>
      </c>
      <c r="D149" s="349" t="s">
        <v>500</v>
      </c>
      <c r="E149" s="368" t="s">
        <v>501</v>
      </c>
      <c r="F149" s="362">
        <v>35000</v>
      </c>
    </row>
    <row r="150" spans="2:6" ht="69.75" customHeight="1" thickBot="1" x14ac:dyDescent="0.3">
      <c r="B150" s="579"/>
      <c r="C150" s="349"/>
      <c r="D150" s="349" t="s">
        <v>502</v>
      </c>
      <c r="E150" s="368" t="s">
        <v>503</v>
      </c>
      <c r="F150" s="362">
        <v>40000</v>
      </c>
    </row>
    <row r="151" spans="2:6" ht="30" customHeight="1" thickBot="1" x14ac:dyDescent="0.3">
      <c r="B151" s="565" t="s">
        <v>504</v>
      </c>
      <c r="C151" s="566"/>
      <c r="D151" s="566"/>
      <c r="E151" s="566"/>
      <c r="F151" s="373">
        <f>SUM(F145:F150)</f>
        <v>391300</v>
      </c>
    </row>
    <row r="152" spans="2:6" ht="13.5" thickBot="1" x14ac:dyDescent="0.3">
      <c r="B152" s="357"/>
      <c r="C152" s="358"/>
      <c r="D152" s="358"/>
      <c r="E152" s="357"/>
      <c r="F152" s="359"/>
    </row>
    <row r="153" spans="2:6" s="381" customFormat="1" ht="38.450000000000003" customHeight="1" thickBot="1" x14ac:dyDescent="0.3">
      <c r="B153" s="580" t="s">
        <v>505</v>
      </c>
      <c r="C153" s="581"/>
      <c r="D153" s="581"/>
      <c r="E153" s="582"/>
      <c r="F153" s="380">
        <f>F13+F119+F141+F151</f>
        <v>251162037.56530413</v>
      </c>
    </row>
    <row r="154" spans="2:6" x14ac:dyDescent="0.25">
      <c r="B154" s="357"/>
      <c r="C154" s="358"/>
      <c r="D154" s="358"/>
      <c r="E154" s="357"/>
      <c r="F154" s="359"/>
    </row>
    <row r="155" spans="2:6" ht="18" x14ac:dyDescent="0.25">
      <c r="B155" s="562" t="s">
        <v>506</v>
      </c>
      <c r="C155" s="562"/>
      <c r="D155" s="562"/>
      <c r="E155" s="562"/>
      <c r="F155" s="562"/>
    </row>
    <row r="156" spans="2:6" ht="13.5" thickBot="1" x14ac:dyDescent="0.3">
      <c r="B156" s="357"/>
      <c r="C156" s="358"/>
      <c r="D156" s="358"/>
      <c r="E156" s="357"/>
      <c r="F156" s="359"/>
    </row>
    <row r="157" spans="2:6" ht="10.9" customHeight="1" x14ac:dyDescent="0.25">
      <c r="B157" s="563" t="s">
        <v>507</v>
      </c>
      <c r="C157" s="564"/>
      <c r="D157" s="564"/>
      <c r="E157" s="564"/>
      <c r="F157" s="564"/>
    </row>
    <row r="158" spans="2:6" ht="25.5" x14ac:dyDescent="0.25">
      <c r="B158" s="374" t="s">
        <v>62</v>
      </c>
      <c r="C158" s="345" t="s">
        <v>63</v>
      </c>
      <c r="D158" s="345" t="s">
        <v>64</v>
      </c>
      <c r="E158" s="375" t="s">
        <v>65</v>
      </c>
      <c r="F158" s="347" t="s">
        <v>309</v>
      </c>
    </row>
    <row r="159" spans="2:6" x14ac:dyDescent="0.25">
      <c r="B159" s="583"/>
      <c r="C159" s="349">
        <v>1</v>
      </c>
      <c r="D159" s="370" t="s">
        <v>77</v>
      </c>
      <c r="E159" s="350" t="s">
        <v>508</v>
      </c>
      <c r="F159" s="362">
        <v>0</v>
      </c>
    </row>
    <row r="160" spans="2:6" x14ac:dyDescent="0.25">
      <c r="B160" s="583"/>
      <c r="C160" s="349">
        <v>1</v>
      </c>
      <c r="D160" s="370" t="s">
        <v>77</v>
      </c>
      <c r="E160" s="350" t="s">
        <v>509</v>
      </c>
      <c r="F160" s="362">
        <v>45</v>
      </c>
    </row>
    <row r="161" spans="2:6" x14ac:dyDescent="0.25">
      <c r="B161" s="583"/>
      <c r="C161" s="349">
        <v>1</v>
      </c>
      <c r="D161" s="370" t="s">
        <v>77</v>
      </c>
      <c r="E161" s="350" t="s">
        <v>78</v>
      </c>
      <c r="F161" s="362">
        <v>0</v>
      </c>
    </row>
    <row r="162" spans="2:6" x14ac:dyDescent="0.25">
      <c r="B162" s="583"/>
      <c r="C162" s="349">
        <v>1</v>
      </c>
      <c r="D162" s="370" t="s">
        <v>77</v>
      </c>
      <c r="E162" s="350" t="s">
        <v>79</v>
      </c>
      <c r="F162" s="362">
        <v>35</v>
      </c>
    </row>
    <row r="163" spans="2:6" x14ac:dyDescent="0.25">
      <c r="B163" s="583"/>
      <c r="C163" s="349">
        <v>1</v>
      </c>
      <c r="D163" s="370" t="s">
        <v>77</v>
      </c>
      <c r="E163" s="350" t="s">
        <v>80</v>
      </c>
      <c r="F163" s="362">
        <v>0</v>
      </c>
    </row>
    <row r="164" spans="2:6" x14ac:dyDescent="0.25">
      <c r="B164" s="583"/>
      <c r="C164" s="349">
        <v>1</v>
      </c>
      <c r="D164" s="370" t="s">
        <v>77</v>
      </c>
      <c r="E164" s="350" t="s">
        <v>81</v>
      </c>
      <c r="F164" s="362">
        <v>0</v>
      </c>
    </row>
    <row r="165" spans="2:6" x14ac:dyDescent="0.25">
      <c r="B165" s="583"/>
      <c r="C165" s="349">
        <v>1</v>
      </c>
      <c r="D165" s="370" t="s">
        <v>77</v>
      </c>
      <c r="E165" s="350" t="s">
        <v>82</v>
      </c>
      <c r="F165" s="362">
        <v>0</v>
      </c>
    </row>
    <row r="166" spans="2:6" x14ac:dyDescent="0.25">
      <c r="B166" s="583"/>
      <c r="C166" s="349">
        <v>1</v>
      </c>
      <c r="D166" s="370" t="s">
        <v>77</v>
      </c>
      <c r="E166" s="350" t="s">
        <v>510</v>
      </c>
      <c r="F166" s="362">
        <v>0</v>
      </c>
    </row>
    <row r="167" spans="2:6" x14ac:dyDescent="0.25">
      <c r="B167" s="583"/>
      <c r="C167" s="349">
        <v>1</v>
      </c>
      <c r="D167" s="370" t="s">
        <v>77</v>
      </c>
      <c r="E167" s="350" t="s">
        <v>511</v>
      </c>
      <c r="F167" s="362">
        <v>110</v>
      </c>
    </row>
    <row r="168" spans="2:6" x14ac:dyDescent="0.25">
      <c r="B168" s="583"/>
      <c r="C168" s="349">
        <v>1</v>
      </c>
      <c r="D168" s="370" t="s">
        <v>77</v>
      </c>
      <c r="E168" s="350" t="s">
        <v>512</v>
      </c>
      <c r="F168" s="362">
        <v>0</v>
      </c>
    </row>
    <row r="169" spans="2:6" x14ac:dyDescent="0.25">
      <c r="B169" s="583"/>
      <c r="C169" s="349">
        <v>1</v>
      </c>
      <c r="D169" s="370" t="s">
        <v>77</v>
      </c>
      <c r="E169" s="350" t="s">
        <v>513</v>
      </c>
      <c r="F169" s="362">
        <v>200</v>
      </c>
    </row>
    <row r="170" spans="2:6" x14ac:dyDescent="0.25">
      <c r="B170" s="583"/>
      <c r="C170" s="349">
        <v>1</v>
      </c>
      <c r="D170" s="370" t="s">
        <v>77</v>
      </c>
      <c r="E170" s="350" t="s">
        <v>514</v>
      </c>
      <c r="F170" s="362">
        <v>0</v>
      </c>
    </row>
    <row r="171" spans="2:6" x14ac:dyDescent="0.25">
      <c r="B171" s="583"/>
      <c r="C171" s="349">
        <v>1</v>
      </c>
      <c r="D171" s="370" t="s">
        <v>77</v>
      </c>
      <c r="E171" s="350" t="s">
        <v>515</v>
      </c>
      <c r="F171" s="362">
        <v>275</v>
      </c>
    </row>
    <row r="172" spans="2:6" x14ac:dyDescent="0.25">
      <c r="B172" s="583"/>
      <c r="C172" s="349">
        <v>1</v>
      </c>
      <c r="D172" s="370" t="s">
        <v>77</v>
      </c>
      <c r="E172" s="350" t="s">
        <v>516</v>
      </c>
      <c r="F172" s="362">
        <v>0</v>
      </c>
    </row>
    <row r="173" spans="2:6" x14ac:dyDescent="0.25">
      <c r="B173" s="583"/>
      <c r="C173" s="349">
        <v>1</v>
      </c>
      <c r="D173" s="370" t="s">
        <v>77</v>
      </c>
      <c r="E173" s="350" t="s">
        <v>517</v>
      </c>
      <c r="F173" s="362">
        <v>0</v>
      </c>
    </row>
    <row r="174" spans="2:6" x14ac:dyDescent="0.25">
      <c r="B174" s="583"/>
      <c r="C174" s="349">
        <v>1</v>
      </c>
      <c r="D174" s="370" t="s">
        <v>77</v>
      </c>
      <c r="E174" s="350" t="s">
        <v>518</v>
      </c>
      <c r="F174" s="362">
        <v>30000</v>
      </c>
    </row>
    <row r="175" spans="2:6" x14ac:dyDescent="0.25">
      <c r="B175" s="583"/>
      <c r="C175" s="349">
        <v>1</v>
      </c>
      <c r="D175" s="370" t="s">
        <v>77</v>
      </c>
      <c r="E175" s="350" t="s">
        <v>519</v>
      </c>
      <c r="F175" s="362">
        <v>0</v>
      </c>
    </row>
    <row r="176" spans="2:6" x14ac:dyDescent="0.25">
      <c r="B176" s="583"/>
      <c r="C176" s="349">
        <v>1</v>
      </c>
      <c r="D176" s="370" t="s">
        <v>77</v>
      </c>
      <c r="E176" s="350" t="s">
        <v>520</v>
      </c>
      <c r="F176" s="362">
        <v>3500</v>
      </c>
    </row>
    <row r="177" spans="2:6" x14ac:dyDescent="0.25">
      <c r="B177" s="583"/>
      <c r="C177" s="349">
        <v>1</v>
      </c>
      <c r="D177" s="370" t="s">
        <v>77</v>
      </c>
      <c r="E177" s="350" t="s">
        <v>521</v>
      </c>
      <c r="F177" s="362">
        <v>100</v>
      </c>
    </row>
    <row r="178" spans="2:6" x14ac:dyDescent="0.25">
      <c r="B178" s="583"/>
      <c r="C178" s="349">
        <v>1</v>
      </c>
      <c r="D178" s="370" t="s">
        <v>77</v>
      </c>
      <c r="E178" s="350" t="s">
        <v>522</v>
      </c>
      <c r="F178" s="362">
        <v>100</v>
      </c>
    </row>
    <row r="179" spans="2:6" x14ac:dyDescent="0.25">
      <c r="B179" s="583"/>
      <c r="C179" s="349">
        <v>1</v>
      </c>
      <c r="D179" s="370" t="s">
        <v>77</v>
      </c>
      <c r="E179" s="350" t="s">
        <v>523</v>
      </c>
      <c r="F179" s="362">
        <v>1500</v>
      </c>
    </row>
    <row r="180" spans="2:6" x14ac:dyDescent="0.25">
      <c r="B180" s="583"/>
      <c r="C180" s="349">
        <v>1</v>
      </c>
      <c r="D180" s="370" t="s">
        <v>77</v>
      </c>
      <c r="E180" s="350" t="s">
        <v>524</v>
      </c>
      <c r="F180" s="362">
        <v>1800</v>
      </c>
    </row>
    <row r="181" spans="2:6" x14ac:dyDescent="0.25">
      <c r="B181" s="583"/>
      <c r="C181" s="349">
        <v>1</v>
      </c>
      <c r="D181" s="370" t="s">
        <v>77</v>
      </c>
      <c r="E181" s="350" t="s">
        <v>525</v>
      </c>
      <c r="F181" s="362">
        <v>2300</v>
      </c>
    </row>
    <row r="182" spans="2:6" x14ac:dyDescent="0.25">
      <c r="B182" s="583"/>
      <c r="C182" s="349">
        <v>1</v>
      </c>
      <c r="D182" s="370" t="s">
        <v>77</v>
      </c>
      <c r="E182" s="350" t="s">
        <v>526</v>
      </c>
      <c r="F182" s="362">
        <v>3000</v>
      </c>
    </row>
    <row r="183" spans="2:6" x14ac:dyDescent="0.25">
      <c r="B183" s="583"/>
      <c r="C183" s="349">
        <v>1</v>
      </c>
      <c r="D183" s="370" t="s">
        <v>77</v>
      </c>
      <c r="E183" s="350" t="s">
        <v>527</v>
      </c>
      <c r="F183" s="362">
        <v>0</v>
      </c>
    </row>
    <row r="184" spans="2:6" x14ac:dyDescent="0.25">
      <c r="B184" s="583"/>
      <c r="C184" s="349">
        <v>1</v>
      </c>
      <c r="D184" s="370" t="s">
        <v>77</v>
      </c>
      <c r="E184" s="350" t="s">
        <v>528</v>
      </c>
      <c r="F184" s="362">
        <v>0</v>
      </c>
    </row>
    <row r="185" spans="2:6" x14ac:dyDescent="0.25">
      <c r="B185" s="583"/>
      <c r="C185" s="349">
        <v>1</v>
      </c>
      <c r="D185" s="370" t="s">
        <v>77</v>
      </c>
      <c r="E185" s="350" t="s">
        <v>529</v>
      </c>
      <c r="F185" s="362">
        <v>0</v>
      </c>
    </row>
    <row r="186" spans="2:6" x14ac:dyDescent="0.25">
      <c r="B186" s="583"/>
      <c r="C186" s="349">
        <v>1</v>
      </c>
      <c r="D186" s="370" t="s">
        <v>77</v>
      </c>
      <c r="E186" s="350" t="s">
        <v>530</v>
      </c>
      <c r="F186" s="382">
        <v>0</v>
      </c>
    </row>
    <row r="187" spans="2:6" x14ac:dyDescent="0.25">
      <c r="B187" s="583"/>
      <c r="C187" s="349">
        <v>1</v>
      </c>
      <c r="D187" s="370" t="s">
        <v>77</v>
      </c>
      <c r="E187" s="350" t="s">
        <v>531</v>
      </c>
      <c r="F187" s="382">
        <v>0</v>
      </c>
    </row>
    <row r="188" spans="2:6" x14ac:dyDescent="0.25">
      <c r="B188" s="583"/>
      <c r="C188" s="349">
        <v>1</v>
      </c>
      <c r="D188" s="370" t="s">
        <v>77</v>
      </c>
      <c r="E188" s="350" t="s">
        <v>532</v>
      </c>
      <c r="F188" s="382">
        <v>0</v>
      </c>
    </row>
    <row r="189" spans="2:6" x14ac:dyDescent="0.25">
      <c r="B189" s="583"/>
      <c r="C189" s="349">
        <v>1</v>
      </c>
      <c r="D189" s="370" t="s">
        <v>77</v>
      </c>
      <c r="E189" s="350" t="s">
        <v>533</v>
      </c>
      <c r="F189" s="382">
        <v>0</v>
      </c>
    </row>
    <row r="190" spans="2:6" x14ac:dyDescent="0.25">
      <c r="B190" s="583"/>
      <c r="C190" s="349">
        <v>1</v>
      </c>
      <c r="D190" s="370" t="s">
        <v>77</v>
      </c>
      <c r="E190" s="350" t="s">
        <v>534</v>
      </c>
      <c r="F190" s="382">
        <v>0</v>
      </c>
    </row>
    <row r="191" spans="2:6" x14ac:dyDescent="0.25">
      <c r="B191" s="583"/>
      <c r="C191" s="349">
        <v>1</v>
      </c>
      <c r="D191" s="370" t="s">
        <v>77</v>
      </c>
      <c r="E191" s="350" t="s">
        <v>83</v>
      </c>
      <c r="F191" s="382">
        <v>0</v>
      </c>
    </row>
    <row r="192" spans="2:6" x14ac:dyDescent="0.25">
      <c r="B192" s="583"/>
      <c r="C192" s="349">
        <v>1</v>
      </c>
      <c r="D192" s="370" t="s">
        <v>77</v>
      </c>
      <c r="E192" s="350" t="s">
        <v>535</v>
      </c>
      <c r="F192" s="382">
        <v>100000</v>
      </c>
    </row>
    <row r="193" spans="2:6" x14ac:dyDescent="0.25">
      <c r="B193" s="583"/>
      <c r="C193" s="349">
        <v>1</v>
      </c>
      <c r="D193" s="370" t="s">
        <v>77</v>
      </c>
      <c r="E193" s="350" t="s">
        <v>84</v>
      </c>
      <c r="F193" s="382">
        <v>0</v>
      </c>
    </row>
    <row r="194" spans="2:6" x14ac:dyDescent="0.25">
      <c r="B194" s="583"/>
      <c r="C194" s="349">
        <v>1</v>
      </c>
      <c r="D194" s="370" t="s">
        <v>77</v>
      </c>
      <c r="E194" s="350" t="s">
        <v>85</v>
      </c>
      <c r="F194" s="382">
        <v>150000</v>
      </c>
    </row>
    <row r="195" spans="2:6" x14ac:dyDescent="0.25">
      <c r="B195" s="583"/>
      <c r="C195" s="349">
        <v>1</v>
      </c>
      <c r="D195" s="370" t="s">
        <v>77</v>
      </c>
      <c r="E195" s="350" t="s">
        <v>86</v>
      </c>
      <c r="F195" s="382">
        <v>0</v>
      </c>
    </row>
    <row r="196" spans="2:6" x14ac:dyDescent="0.25">
      <c r="B196" s="583"/>
      <c r="C196" s="349">
        <v>1</v>
      </c>
      <c r="D196" s="370" t="s">
        <v>77</v>
      </c>
      <c r="E196" s="350" t="s">
        <v>87</v>
      </c>
      <c r="F196" s="382">
        <v>250000</v>
      </c>
    </row>
    <row r="197" spans="2:6" x14ac:dyDescent="0.25">
      <c r="B197" s="583"/>
      <c r="C197" s="349">
        <v>1</v>
      </c>
      <c r="D197" s="370" t="s">
        <v>77</v>
      </c>
      <c r="E197" s="350" t="s">
        <v>88</v>
      </c>
      <c r="F197" s="382">
        <v>0</v>
      </c>
    </row>
    <row r="198" spans="2:6" x14ac:dyDescent="0.25">
      <c r="B198" s="583"/>
      <c r="C198" s="349">
        <v>1</v>
      </c>
      <c r="D198" s="370" t="s">
        <v>77</v>
      </c>
      <c r="E198" s="350" t="s">
        <v>89</v>
      </c>
      <c r="F198" s="382">
        <v>400000</v>
      </c>
    </row>
    <row r="199" spans="2:6" x14ac:dyDescent="0.25">
      <c r="B199" s="583"/>
      <c r="C199" s="349">
        <v>1</v>
      </c>
      <c r="D199" s="370" t="s">
        <v>77</v>
      </c>
      <c r="E199" s="350" t="s">
        <v>90</v>
      </c>
      <c r="F199" s="382">
        <v>0</v>
      </c>
    </row>
    <row r="200" spans="2:6" x14ac:dyDescent="0.25">
      <c r="B200" s="583"/>
      <c r="C200" s="349">
        <v>1</v>
      </c>
      <c r="D200" s="370" t="s">
        <v>77</v>
      </c>
      <c r="E200" s="350" t="s">
        <v>91</v>
      </c>
      <c r="F200" s="382">
        <v>450000</v>
      </c>
    </row>
    <row r="201" spans="2:6" x14ac:dyDescent="0.25">
      <c r="B201" s="583"/>
      <c r="C201" s="349">
        <v>1</v>
      </c>
      <c r="D201" s="370" t="s">
        <v>77</v>
      </c>
      <c r="E201" s="383" t="s">
        <v>92</v>
      </c>
      <c r="F201" s="382">
        <v>0</v>
      </c>
    </row>
    <row r="202" spans="2:6" x14ac:dyDescent="0.25">
      <c r="B202" s="583"/>
      <c r="C202" s="349">
        <v>1</v>
      </c>
      <c r="D202" s="370" t="s">
        <v>77</v>
      </c>
      <c r="E202" s="383" t="s">
        <v>93</v>
      </c>
      <c r="F202" s="382">
        <v>500000</v>
      </c>
    </row>
    <row r="203" spans="2:6" x14ac:dyDescent="0.25">
      <c r="B203" s="583"/>
      <c r="C203" s="349">
        <v>1</v>
      </c>
      <c r="D203" s="370" t="s">
        <v>77</v>
      </c>
      <c r="E203" s="350" t="s">
        <v>94</v>
      </c>
      <c r="F203" s="382">
        <v>0</v>
      </c>
    </row>
    <row r="204" spans="2:6" x14ac:dyDescent="0.25">
      <c r="B204" s="583"/>
      <c r="C204" s="349">
        <v>1</v>
      </c>
      <c r="D204" s="370" t="s">
        <v>77</v>
      </c>
      <c r="E204" s="350" t="s">
        <v>95</v>
      </c>
      <c r="F204" s="382">
        <v>550000</v>
      </c>
    </row>
    <row r="205" spans="2:6" x14ac:dyDescent="0.25">
      <c r="B205" s="583"/>
      <c r="C205" s="349">
        <v>1</v>
      </c>
      <c r="D205" s="370" t="s">
        <v>77</v>
      </c>
      <c r="E205" s="384" t="s">
        <v>96</v>
      </c>
      <c r="F205" s="382">
        <v>150000</v>
      </c>
    </row>
    <row r="206" spans="2:6" x14ac:dyDescent="0.25">
      <c r="B206" s="583"/>
      <c r="C206" s="349">
        <v>1</v>
      </c>
      <c r="D206" s="370" t="s">
        <v>77</v>
      </c>
      <c r="E206" s="384" t="s">
        <v>97</v>
      </c>
      <c r="F206" s="382">
        <v>150000</v>
      </c>
    </row>
    <row r="207" spans="2:6" x14ac:dyDescent="0.25">
      <c r="B207" s="583"/>
      <c r="C207" s="349">
        <v>1</v>
      </c>
      <c r="D207" s="370" t="s">
        <v>77</v>
      </c>
      <c r="E207" s="350" t="s">
        <v>98</v>
      </c>
      <c r="F207" s="382">
        <v>150000</v>
      </c>
    </row>
    <row r="208" spans="2:6" x14ac:dyDescent="0.25">
      <c r="B208" s="583"/>
      <c r="C208" s="349">
        <v>1</v>
      </c>
      <c r="D208" s="370" t="s">
        <v>77</v>
      </c>
      <c r="E208" s="350" t="s">
        <v>99</v>
      </c>
      <c r="F208" s="382">
        <v>150000</v>
      </c>
    </row>
    <row r="209" spans="2:6" ht="13.5" thickBot="1" x14ac:dyDescent="0.3">
      <c r="B209" s="583"/>
      <c r="C209" s="353">
        <v>1</v>
      </c>
      <c r="D209" s="353" t="s">
        <v>77</v>
      </c>
      <c r="E209" s="354" t="s">
        <v>100</v>
      </c>
      <c r="F209" s="382">
        <v>150000</v>
      </c>
    </row>
    <row r="210" spans="2:6" ht="89.25" x14ac:dyDescent="0.25">
      <c r="B210" s="583"/>
      <c r="C210" s="349">
        <v>1</v>
      </c>
      <c r="D210" s="349" t="s">
        <v>536</v>
      </c>
      <c r="E210" s="385" t="s">
        <v>537</v>
      </c>
      <c r="F210" s="386">
        <v>350000</v>
      </c>
    </row>
    <row r="211" spans="2:6" ht="114.75" x14ac:dyDescent="0.25">
      <c r="B211" s="583"/>
      <c r="C211" s="349">
        <v>1</v>
      </c>
      <c r="D211" s="349" t="s">
        <v>538</v>
      </c>
      <c r="E211" s="350" t="s">
        <v>539</v>
      </c>
      <c r="F211" s="362">
        <v>30000000</v>
      </c>
    </row>
    <row r="212" spans="2:6" ht="63.75" x14ac:dyDescent="0.25">
      <c r="B212" s="583"/>
      <c r="C212" s="349">
        <v>1</v>
      </c>
      <c r="D212" s="349" t="s">
        <v>540</v>
      </c>
      <c r="E212" s="350" t="s">
        <v>541</v>
      </c>
      <c r="F212" s="362">
        <v>10000000</v>
      </c>
    </row>
    <row r="213" spans="2:6" ht="63.75" x14ac:dyDescent="0.25">
      <c r="B213" s="583"/>
      <c r="C213" s="349">
        <v>1</v>
      </c>
      <c r="D213" s="349" t="s">
        <v>542</v>
      </c>
      <c r="E213" s="350" t="s">
        <v>543</v>
      </c>
      <c r="F213" s="362">
        <v>10000000</v>
      </c>
    </row>
    <row r="214" spans="2:6" ht="25.5" x14ac:dyDescent="0.25">
      <c r="B214" s="583"/>
      <c r="C214" s="349">
        <v>1</v>
      </c>
      <c r="D214" s="349" t="s">
        <v>544</v>
      </c>
      <c r="E214" s="387" t="s">
        <v>545</v>
      </c>
      <c r="F214" s="362">
        <v>400000</v>
      </c>
    </row>
    <row r="215" spans="2:6" ht="26.25" thickBot="1" x14ac:dyDescent="0.3">
      <c r="B215" s="583"/>
      <c r="C215" s="349">
        <v>1</v>
      </c>
      <c r="D215" s="349" t="s">
        <v>546</v>
      </c>
      <c r="E215" s="387" t="s">
        <v>547</v>
      </c>
      <c r="F215" s="388">
        <v>750000</v>
      </c>
    </row>
    <row r="216" spans="2:6" ht="10.9" customHeight="1" thickBot="1" x14ac:dyDescent="0.3">
      <c r="B216" s="565" t="s">
        <v>548</v>
      </c>
      <c r="C216" s="566"/>
      <c r="D216" s="566"/>
      <c r="E216" s="566"/>
      <c r="F216" s="373">
        <f>SUM(F159:F215)</f>
        <v>54692965</v>
      </c>
    </row>
    <row r="217" spans="2:6" ht="13.5" thickBot="1" x14ac:dyDescent="0.3">
      <c r="E217" s="357"/>
    </row>
    <row r="218" spans="2:6" x14ac:dyDescent="0.25">
      <c r="B218" s="563" t="s">
        <v>549</v>
      </c>
      <c r="C218" s="564"/>
      <c r="D218" s="564"/>
      <c r="E218" s="564"/>
      <c r="F218" s="564"/>
    </row>
    <row r="219" spans="2:6" ht="25.5" x14ac:dyDescent="0.25">
      <c r="B219" s="374" t="s">
        <v>62</v>
      </c>
      <c r="C219" s="345" t="s">
        <v>63</v>
      </c>
      <c r="D219" s="345" t="s">
        <v>64</v>
      </c>
      <c r="E219" s="375" t="s">
        <v>65</v>
      </c>
      <c r="F219" s="379" t="s">
        <v>309</v>
      </c>
    </row>
    <row r="220" spans="2:6" ht="115.5" thickBot="1" x14ac:dyDescent="0.3">
      <c r="B220" s="392" t="s">
        <v>550</v>
      </c>
      <c r="C220" s="353">
        <v>1</v>
      </c>
      <c r="D220" s="353" t="s">
        <v>551</v>
      </c>
      <c r="E220" s="376" t="s">
        <v>552</v>
      </c>
      <c r="F220" s="388">
        <v>1000000</v>
      </c>
    </row>
    <row r="221" spans="2:6" ht="10.9" customHeight="1" thickBot="1" x14ac:dyDescent="0.3">
      <c r="B221" s="565" t="s">
        <v>553</v>
      </c>
      <c r="C221" s="566"/>
      <c r="D221" s="566"/>
      <c r="E221" s="566"/>
      <c r="F221" s="373">
        <f>F220</f>
        <v>1000000</v>
      </c>
    </row>
    <row r="222" spans="2:6" ht="13.5" thickBot="1" x14ac:dyDescent="0.3">
      <c r="B222" s="393"/>
      <c r="C222" s="358"/>
      <c r="D222" s="358"/>
      <c r="E222" s="393"/>
      <c r="F222" s="359"/>
    </row>
    <row r="223" spans="2:6" s="381" customFormat="1" ht="38.450000000000003" customHeight="1" thickBot="1" x14ac:dyDescent="0.3">
      <c r="B223" s="580" t="s">
        <v>554</v>
      </c>
      <c r="C223" s="581"/>
      <c r="D223" s="581"/>
      <c r="E223" s="582"/>
      <c r="F223" s="380">
        <f>F216+F221</f>
        <v>55692965</v>
      </c>
    </row>
    <row r="225" spans="2:6" ht="13.5" thickBot="1" x14ac:dyDescent="0.3"/>
    <row r="226" spans="2:6" ht="18.75" thickBot="1" x14ac:dyDescent="0.3">
      <c r="B226" s="584" t="s">
        <v>555</v>
      </c>
      <c r="C226" s="585"/>
      <c r="D226" s="585"/>
      <c r="E226" s="586"/>
      <c r="F226" s="394">
        <f>F223+F153</f>
        <v>306855002.56530416</v>
      </c>
    </row>
    <row r="228" spans="2:6" ht="30" customHeight="1" x14ac:dyDescent="0.25">
      <c r="B228" s="587" t="s">
        <v>556</v>
      </c>
      <c r="C228" s="587"/>
      <c r="D228" s="587"/>
      <c r="E228" s="395" t="s">
        <v>557</v>
      </c>
    </row>
    <row r="229" spans="2:6" ht="27" customHeight="1" x14ac:dyDescent="0.25">
      <c r="B229" s="587" t="s">
        <v>558</v>
      </c>
      <c r="C229" s="587"/>
      <c r="D229" s="587"/>
      <c r="E229" s="395"/>
    </row>
    <row r="230" spans="2:6" ht="30" customHeight="1" x14ac:dyDescent="0.25">
      <c r="B230" s="587" t="s">
        <v>559</v>
      </c>
      <c r="C230" s="587"/>
      <c r="D230" s="587"/>
      <c r="E230" s="396">
        <v>12581780</v>
      </c>
    </row>
  </sheetData>
  <sheetProtection formatCells="0" formatColumns="0" formatRows="0" insertColumns="0" insertRows="0" insertHyperlinks="0" deleteColumns="0" deleteRows="0" sort="0" autoFilter="0" pivotTables="0"/>
  <mergeCells count="47">
    <mergeCell ref="B223:E223"/>
    <mergeCell ref="B226:E226"/>
    <mergeCell ref="B228:D228"/>
    <mergeCell ref="B229:D229"/>
    <mergeCell ref="B230:D230"/>
    <mergeCell ref="B221:E221"/>
    <mergeCell ref="B123:B140"/>
    <mergeCell ref="B141:E141"/>
    <mergeCell ref="B143:F143"/>
    <mergeCell ref="B145:B150"/>
    <mergeCell ref="B151:E151"/>
    <mergeCell ref="B153:E153"/>
    <mergeCell ref="B155:F155"/>
    <mergeCell ref="B157:F157"/>
    <mergeCell ref="B159:B215"/>
    <mergeCell ref="B216:E216"/>
    <mergeCell ref="B218:F218"/>
    <mergeCell ref="B121:F121"/>
    <mergeCell ref="B79:B81"/>
    <mergeCell ref="B82:B84"/>
    <mergeCell ref="B86:B87"/>
    <mergeCell ref="B88:B90"/>
    <mergeCell ref="B93:B98"/>
    <mergeCell ref="B99:B103"/>
    <mergeCell ref="B104:B108"/>
    <mergeCell ref="B109:B110"/>
    <mergeCell ref="B112:B115"/>
    <mergeCell ref="B116:B118"/>
    <mergeCell ref="B119:E119"/>
    <mergeCell ref="B75:B78"/>
    <mergeCell ref="B23:B29"/>
    <mergeCell ref="B30:B32"/>
    <mergeCell ref="B33:B41"/>
    <mergeCell ref="B43:B45"/>
    <mergeCell ref="B46:B48"/>
    <mergeCell ref="B49:B51"/>
    <mergeCell ref="B52:B55"/>
    <mergeCell ref="B56:B58"/>
    <mergeCell ref="B60:B64"/>
    <mergeCell ref="B65:B70"/>
    <mergeCell ref="B71:B74"/>
    <mergeCell ref="B17:B22"/>
    <mergeCell ref="B1:F3"/>
    <mergeCell ref="B5:F5"/>
    <mergeCell ref="B7:F7"/>
    <mergeCell ref="B13:E13"/>
    <mergeCell ref="B15:F15"/>
  </mergeCells>
  <printOptions horizontalCentered="1" verticalCentered="1"/>
  <pageMargins left="0.7" right="0.7" top="0.75" bottom="0.75" header="0.3" footer="0.3"/>
  <pageSetup scale="51" fitToHeight="5" orientation="portrait" r:id="rId1"/>
  <rowBreaks count="10" manualBreakCount="10">
    <brk id="29" min="1" max="5" man="1"/>
    <brk id="51" min="1" max="5" man="1"/>
    <brk id="64" min="1" max="5" man="1"/>
    <brk id="92" min="1" max="5" man="1"/>
    <brk id="119" min="1" max="5" man="1"/>
    <brk id="129" min="1" max="5" man="1"/>
    <brk id="132" min="1" max="5" man="1"/>
    <brk id="136" min="1" max="5" man="1"/>
    <brk id="151" min="1" max="5" man="1"/>
    <brk id="209" min="1" max="5" man="1"/>
  </rowBreaks>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workbookViewId="0">
      <selection activeCell="B66" sqref="B66"/>
    </sheetView>
  </sheetViews>
  <sheetFormatPr baseColWidth="10" defaultRowHeight="15" x14ac:dyDescent="0.25"/>
  <sheetData>
    <row r="1" spans="1:4" x14ac:dyDescent="0.25">
      <c r="A1" s="399" t="s">
        <v>562</v>
      </c>
    </row>
    <row r="2" spans="1:4" x14ac:dyDescent="0.25">
      <c r="A2" s="311" t="s">
        <v>563</v>
      </c>
    </row>
    <row r="3" spans="1:4" x14ac:dyDescent="0.25">
      <c r="A3" s="311" t="s">
        <v>564</v>
      </c>
    </row>
    <row r="4" spans="1:4" ht="15.75" thickBot="1" x14ac:dyDescent="0.3">
      <c r="A4" s="399" t="s">
        <v>565</v>
      </c>
    </row>
    <row r="5" spans="1:4" ht="30.75" thickBot="1" x14ac:dyDescent="0.3">
      <c r="A5" s="400" t="s">
        <v>267</v>
      </c>
      <c r="B5" s="401" t="s">
        <v>62</v>
      </c>
      <c r="C5" s="401" t="s">
        <v>566</v>
      </c>
      <c r="D5" s="401" t="s">
        <v>567</v>
      </c>
    </row>
    <row r="6" spans="1:4" ht="30" x14ac:dyDescent="0.25">
      <c r="A6" s="588" t="s">
        <v>568</v>
      </c>
      <c r="B6" s="402" t="s">
        <v>569</v>
      </c>
      <c r="C6" s="588" t="s">
        <v>561</v>
      </c>
      <c r="D6" s="588" t="s">
        <v>571</v>
      </c>
    </row>
    <row r="7" spans="1:4" ht="45.75" thickBot="1" x14ac:dyDescent="0.3">
      <c r="A7" s="589"/>
      <c r="B7" s="403" t="s">
        <v>570</v>
      </c>
      <c r="C7" s="589"/>
      <c r="D7" s="589"/>
    </row>
    <row r="8" spans="1:4" ht="74.25" customHeight="1" x14ac:dyDescent="0.25">
      <c r="A8" s="588" t="s">
        <v>572</v>
      </c>
      <c r="B8" s="588" t="s">
        <v>573</v>
      </c>
      <c r="C8" s="402" t="s">
        <v>574</v>
      </c>
      <c r="D8" s="588" t="s">
        <v>576</v>
      </c>
    </row>
    <row r="9" spans="1:4" ht="30" x14ac:dyDescent="0.25">
      <c r="A9" s="590"/>
      <c r="B9" s="590"/>
      <c r="C9" s="402" t="s">
        <v>575</v>
      </c>
      <c r="D9" s="590"/>
    </row>
    <row r="10" spans="1:4" ht="15.75" thickBot="1" x14ac:dyDescent="0.3">
      <c r="A10" s="589"/>
      <c r="B10" s="589"/>
      <c r="C10" s="403"/>
      <c r="D10" s="589"/>
    </row>
    <row r="11" spans="1:4" ht="45" x14ac:dyDescent="0.25">
      <c r="A11" s="588" t="s">
        <v>577</v>
      </c>
      <c r="B11" s="402" t="s">
        <v>578</v>
      </c>
      <c r="C11" s="402" t="s">
        <v>583</v>
      </c>
      <c r="D11" s="588" t="s">
        <v>585</v>
      </c>
    </row>
    <row r="12" spans="1:4" ht="45" x14ac:dyDescent="0.25">
      <c r="A12" s="590"/>
      <c r="B12" s="402" t="s">
        <v>579</v>
      </c>
      <c r="C12" s="402" t="s">
        <v>584</v>
      </c>
      <c r="D12" s="590"/>
    </row>
    <row r="13" spans="1:4" x14ac:dyDescent="0.25">
      <c r="A13" s="590"/>
      <c r="B13" s="402" t="s">
        <v>580</v>
      </c>
      <c r="C13" s="402"/>
      <c r="D13" s="590"/>
    </row>
    <row r="14" spans="1:4" ht="45" x14ac:dyDescent="0.25">
      <c r="A14" s="590"/>
      <c r="B14" s="402" t="s">
        <v>581</v>
      </c>
      <c r="C14" s="402"/>
      <c r="D14" s="590"/>
    </row>
    <row r="15" spans="1:4" ht="30.75" thickBot="1" x14ac:dyDescent="0.3">
      <c r="A15" s="589"/>
      <c r="B15" s="403" t="s">
        <v>582</v>
      </c>
      <c r="C15" s="403"/>
      <c r="D15" s="589"/>
    </row>
    <row r="16" spans="1:4" ht="45" x14ac:dyDescent="0.25">
      <c r="A16" s="588" t="s">
        <v>586</v>
      </c>
      <c r="B16" s="402" t="s">
        <v>587</v>
      </c>
      <c r="C16" s="402" t="s">
        <v>590</v>
      </c>
      <c r="D16" s="588" t="s">
        <v>585</v>
      </c>
    </row>
    <row r="17" spans="1:4" ht="30" x14ac:dyDescent="0.25">
      <c r="A17" s="590"/>
      <c r="B17" s="402" t="s">
        <v>588</v>
      </c>
      <c r="C17" s="402" t="s">
        <v>591</v>
      </c>
      <c r="D17" s="590"/>
    </row>
    <row r="18" spans="1:4" ht="45" x14ac:dyDescent="0.25">
      <c r="A18" s="590"/>
      <c r="B18" s="402" t="s">
        <v>581</v>
      </c>
      <c r="C18" s="402"/>
      <c r="D18" s="590"/>
    </row>
    <row r="19" spans="1:4" ht="30" x14ac:dyDescent="0.25">
      <c r="A19" s="590"/>
      <c r="B19" s="402" t="s">
        <v>589</v>
      </c>
      <c r="C19" s="402"/>
      <c r="D19" s="590"/>
    </row>
    <row r="20" spans="1:4" x14ac:dyDescent="0.25">
      <c r="A20" s="590"/>
      <c r="B20" s="402"/>
      <c r="C20" s="402"/>
      <c r="D20" s="590"/>
    </row>
    <row r="21" spans="1:4" ht="15.75" thickBot="1" x14ac:dyDescent="0.3">
      <c r="A21" s="589"/>
      <c r="B21" s="403"/>
      <c r="C21" s="403"/>
      <c r="D21" s="589"/>
    </row>
    <row r="22" spans="1:4" ht="105" x14ac:dyDescent="0.25">
      <c r="A22" s="588" t="s">
        <v>592</v>
      </c>
      <c r="B22" s="402" t="s">
        <v>593</v>
      </c>
      <c r="C22" s="402" t="s">
        <v>595</v>
      </c>
      <c r="D22" s="588" t="s">
        <v>585</v>
      </c>
    </row>
    <row r="23" spans="1:4" ht="30.75" thickBot="1" x14ac:dyDescent="0.3">
      <c r="A23" s="589"/>
      <c r="B23" s="403" t="s">
        <v>594</v>
      </c>
      <c r="C23" s="403" t="s">
        <v>596</v>
      </c>
      <c r="D23" s="589"/>
    </row>
  </sheetData>
  <mergeCells count="12">
    <mergeCell ref="A11:A15"/>
    <mergeCell ref="D11:D15"/>
    <mergeCell ref="A16:A21"/>
    <mergeCell ref="D16:D21"/>
    <mergeCell ref="A22:A23"/>
    <mergeCell ref="D22:D23"/>
    <mergeCell ref="A6:A7"/>
    <mergeCell ref="C6:C7"/>
    <mergeCell ref="D6:D7"/>
    <mergeCell ref="A8:A10"/>
    <mergeCell ref="B8:B10"/>
    <mergeCell ref="D8:D10"/>
  </mergeCells>
  <hyperlinks>
    <hyperlink ref="A2" r:id="rId1" display="../../mmendez/Downloads/DA_PROCESO_12-13-1208708_225000001_5511867.pdf"/>
    <hyperlink ref="A3" r:id="rId2" display="../../mmendez/Downloads/DA_PROCESO_14-13-2574065_133001000_10186573.pdf"/>
  </hyperlink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2"/>
  <sheetViews>
    <sheetView topLeftCell="A37" workbookViewId="0">
      <selection activeCell="B66" sqref="B66"/>
    </sheetView>
  </sheetViews>
  <sheetFormatPr baseColWidth="10" defaultRowHeight="15" x14ac:dyDescent="0.25"/>
  <cols>
    <col min="3" max="3" width="12.42578125" bestFit="1" customWidth="1"/>
    <col min="4" max="4" width="28.140625" customWidth="1"/>
  </cols>
  <sheetData>
    <row r="1" spans="1:4" ht="15.75" thickBot="1" x14ac:dyDescent="0.3"/>
    <row r="2" spans="1:4" ht="32.25" thickBot="1" x14ac:dyDescent="0.3">
      <c r="A2" s="404" t="s">
        <v>8</v>
      </c>
      <c r="B2" s="405" t="s">
        <v>597</v>
      </c>
      <c r="C2" s="405" t="s">
        <v>598</v>
      </c>
      <c r="D2" s="405" t="s">
        <v>599</v>
      </c>
    </row>
    <row r="3" spans="1:4" ht="63.75" thickBot="1" x14ac:dyDescent="0.3">
      <c r="A3" s="406" t="s">
        <v>600</v>
      </c>
      <c r="B3" s="407" t="s">
        <v>601</v>
      </c>
      <c r="C3" s="408">
        <v>14000000</v>
      </c>
      <c r="D3" s="407" t="s">
        <v>602</v>
      </c>
    </row>
    <row r="4" spans="1:4" ht="63.75" thickBot="1" x14ac:dyDescent="0.3">
      <c r="A4" s="406" t="s">
        <v>600</v>
      </c>
      <c r="B4" s="407" t="s">
        <v>603</v>
      </c>
      <c r="C4" s="408">
        <v>12000000</v>
      </c>
      <c r="D4" s="407" t="s">
        <v>602</v>
      </c>
    </row>
    <row r="5" spans="1:4" ht="47.25" x14ac:dyDescent="0.25">
      <c r="A5" s="591" t="s">
        <v>600</v>
      </c>
      <c r="B5" s="591" t="s">
        <v>604</v>
      </c>
      <c r="C5" s="409" t="s">
        <v>605</v>
      </c>
      <c r="D5" s="591" t="s">
        <v>607</v>
      </c>
    </row>
    <row r="6" spans="1:4" ht="15.75" x14ac:dyDescent="0.25">
      <c r="A6" s="597"/>
      <c r="B6" s="597"/>
      <c r="C6" s="409"/>
      <c r="D6" s="597"/>
    </row>
    <row r="7" spans="1:4" ht="48" thickBot="1" x14ac:dyDescent="0.3">
      <c r="A7" s="592"/>
      <c r="B7" s="592"/>
      <c r="C7" s="407" t="s">
        <v>606</v>
      </c>
      <c r="D7" s="592"/>
    </row>
    <row r="8" spans="1:4" ht="95.25" thickBot="1" x14ac:dyDescent="0.3">
      <c r="A8" s="406" t="s">
        <v>600</v>
      </c>
      <c r="B8" s="407" t="s">
        <v>608</v>
      </c>
      <c r="C8" s="408">
        <v>10000000</v>
      </c>
      <c r="D8" s="407" t="s">
        <v>609</v>
      </c>
    </row>
    <row r="9" spans="1:4" ht="95.25" thickBot="1" x14ac:dyDescent="0.3">
      <c r="A9" s="406" t="s">
        <v>600</v>
      </c>
      <c r="B9" s="407" t="s">
        <v>610</v>
      </c>
      <c r="C9" s="408">
        <v>15000000</v>
      </c>
      <c r="D9" s="407" t="s">
        <v>611</v>
      </c>
    </row>
    <row r="10" spans="1:4" ht="31.5" x14ac:dyDescent="0.25">
      <c r="A10" s="591" t="s">
        <v>612</v>
      </c>
      <c r="B10" s="591" t="s">
        <v>613</v>
      </c>
      <c r="C10" s="410">
        <v>4800000</v>
      </c>
      <c r="D10" s="409" t="s">
        <v>614</v>
      </c>
    </row>
    <row r="11" spans="1:4" ht="15.75" x14ac:dyDescent="0.25">
      <c r="A11" s="597"/>
      <c r="B11" s="597"/>
      <c r="C11" s="409"/>
      <c r="D11" s="409"/>
    </row>
    <row r="12" spans="1:4" ht="47.25" x14ac:dyDescent="0.25">
      <c r="A12" s="597"/>
      <c r="B12" s="597"/>
      <c r="C12" s="409"/>
      <c r="D12" s="409" t="s">
        <v>615</v>
      </c>
    </row>
    <row r="13" spans="1:4" ht="15.75" x14ac:dyDescent="0.25">
      <c r="A13" s="597"/>
      <c r="B13" s="597"/>
      <c r="C13" s="410">
        <v>4487323</v>
      </c>
      <c r="D13" s="409"/>
    </row>
    <row r="14" spans="1:4" ht="47.25" x14ac:dyDescent="0.25">
      <c r="A14" s="597"/>
      <c r="B14" s="597"/>
      <c r="C14" s="409"/>
      <c r="D14" s="409" t="s">
        <v>616</v>
      </c>
    </row>
    <row r="15" spans="1:4" ht="15.75" x14ac:dyDescent="0.25">
      <c r="A15" s="597"/>
      <c r="B15" s="597"/>
      <c r="C15" s="409"/>
      <c r="D15" s="409"/>
    </row>
    <row r="16" spans="1:4" ht="31.5" x14ac:dyDescent="0.25">
      <c r="A16" s="597"/>
      <c r="B16" s="597"/>
      <c r="C16" s="417">
        <v>6032000</v>
      </c>
      <c r="D16" s="418" t="s">
        <v>617</v>
      </c>
    </row>
    <row r="17" spans="1:4" ht="15.75" x14ac:dyDescent="0.25">
      <c r="A17" s="597"/>
      <c r="B17" s="597"/>
      <c r="C17" s="409"/>
      <c r="D17" s="402"/>
    </row>
    <row r="18" spans="1:4" ht="15.75" x14ac:dyDescent="0.25">
      <c r="A18" s="597"/>
      <c r="B18" s="597"/>
      <c r="C18" s="409"/>
      <c r="D18" s="402"/>
    </row>
    <row r="19" spans="1:4" ht="16.5" thickBot="1" x14ac:dyDescent="0.3">
      <c r="A19" s="592"/>
      <c r="B19" s="592"/>
      <c r="C19" s="408">
        <v>4000000</v>
      </c>
      <c r="D19" s="403"/>
    </row>
    <row r="20" spans="1:4" ht="63" customHeight="1" x14ac:dyDescent="0.25">
      <c r="A20" s="591" t="s">
        <v>612</v>
      </c>
      <c r="B20" s="591" t="s">
        <v>618</v>
      </c>
      <c r="C20" s="593">
        <v>6000000</v>
      </c>
      <c r="D20" s="595" t="s">
        <v>614</v>
      </c>
    </row>
    <row r="21" spans="1:4" ht="15.75" thickBot="1" x14ac:dyDescent="0.3">
      <c r="A21" s="592"/>
      <c r="B21" s="592"/>
      <c r="C21" s="594"/>
      <c r="D21" s="596"/>
    </row>
    <row r="22" spans="1:4" ht="79.5" thickBot="1" x14ac:dyDescent="0.3">
      <c r="A22" s="406" t="s">
        <v>619</v>
      </c>
      <c r="B22" s="407" t="s">
        <v>620</v>
      </c>
      <c r="C22" s="408">
        <v>130000</v>
      </c>
      <c r="D22" s="407" t="s">
        <v>614</v>
      </c>
    </row>
    <row r="23" spans="1:4" x14ac:dyDescent="0.25">
      <c r="A23" s="591"/>
      <c r="B23" s="591"/>
      <c r="C23" s="591"/>
      <c r="D23" s="591"/>
    </row>
    <row r="24" spans="1:4" ht="15.75" thickBot="1" x14ac:dyDescent="0.3">
      <c r="A24" s="592"/>
      <c r="B24" s="592"/>
      <c r="C24" s="592"/>
      <c r="D24" s="592"/>
    </row>
    <row r="25" spans="1:4" ht="32.25" thickBot="1" x14ac:dyDescent="0.3">
      <c r="A25" s="406" t="s">
        <v>8</v>
      </c>
      <c r="B25" s="407" t="s">
        <v>597</v>
      </c>
      <c r="C25" s="407" t="s">
        <v>598</v>
      </c>
      <c r="D25" s="407" t="s">
        <v>599</v>
      </c>
    </row>
    <row r="26" spans="1:4" ht="31.5" x14ac:dyDescent="0.25">
      <c r="A26" s="591" t="s">
        <v>621</v>
      </c>
      <c r="B26" s="591" t="s">
        <v>622</v>
      </c>
      <c r="C26" s="412">
        <v>4230</v>
      </c>
      <c r="D26" s="409" t="s">
        <v>623</v>
      </c>
    </row>
    <row r="27" spans="1:4" ht="15.75" x14ac:dyDescent="0.25">
      <c r="A27" s="597"/>
      <c r="B27" s="597"/>
      <c r="C27" s="409"/>
      <c r="D27" s="409"/>
    </row>
    <row r="28" spans="1:4" ht="32.25" thickBot="1" x14ac:dyDescent="0.3">
      <c r="A28" s="592"/>
      <c r="B28" s="592"/>
      <c r="C28" s="408">
        <v>8932</v>
      </c>
      <c r="D28" s="407" t="s">
        <v>624</v>
      </c>
    </row>
    <row r="29" spans="1:4" ht="48" thickBot="1" x14ac:dyDescent="0.3">
      <c r="A29" s="406" t="s">
        <v>625</v>
      </c>
      <c r="B29" s="407" t="s">
        <v>626</v>
      </c>
      <c r="C29" s="413">
        <v>90000</v>
      </c>
      <c r="D29" s="407" t="s">
        <v>627</v>
      </c>
    </row>
    <row r="30" spans="1:4" ht="63.75" thickBot="1" x14ac:dyDescent="0.3">
      <c r="A30" s="406" t="s">
        <v>625</v>
      </c>
      <c r="B30" s="407" t="s">
        <v>628</v>
      </c>
      <c r="C30" s="413">
        <v>218050</v>
      </c>
      <c r="D30" s="407" t="s">
        <v>629</v>
      </c>
    </row>
    <row r="31" spans="1:4" ht="48" thickBot="1" x14ac:dyDescent="0.3">
      <c r="A31" s="406" t="s">
        <v>625</v>
      </c>
      <c r="B31" s="407" t="s">
        <v>630</v>
      </c>
      <c r="C31" s="408">
        <v>138829</v>
      </c>
      <c r="D31" s="407" t="s">
        <v>629</v>
      </c>
    </row>
    <row r="32" spans="1:4" ht="48" thickBot="1" x14ac:dyDescent="0.3">
      <c r="A32" s="406" t="s">
        <v>625</v>
      </c>
      <c r="B32" s="407" t="s">
        <v>631</v>
      </c>
      <c r="C32" s="408">
        <v>108205</v>
      </c>
      <c r="D32" s="407" t="s">
        <v>632</v>
      </c>
    </row>
    <row r="33" spans="1:4" ht="48" thickBot="1" x14ac:dyDescent="0.3">
      <c r="A33" s="406" t="s">
        <v>625</v>
      </c>
      <c r="B33" s="407" t="s">
        <v>633</v>
      </c>
      <c r="C33" s="408">
        <v>285000</v>
      </c>
      <c r="D33" s="411" t="s">
        <v>634</v>
      </c>
    </row>
    <row r="34" spans="1:4" ht="48" thickBot="1" x14ac:dyDescent="0.3">
      <c r="A34" s="406" t="s">
        <v>625</v>
      </c>
      <c r="B34" s="407" t="s">
        <v>635</v>
      </c>
      <c r="C34" s="408">
        <v>1105000</v>
      </c>
      <c r="D34" s="407" t="s">
        <v>636</v>
      </c>
    </row>
    <row r="35" spans="1:4" ht="48" thickBot="1" x14ac:dyDescent="0.3">
      <c r="A35" s="406" t="s">
        <v>625</v>
      </c>
      <c r="B35" s="407" t="s">
        <v>637</v>
      </c>
      <c r="C35" s="408">
        <v>1105000</v>
      </c>
      <c r="D35" s="407" t="s">
        <v>636</v>
      </c>
    </row>
    <row r="36" spans="1:4" ht="48" thickBot="1" x14ac:dyDescent="0.3">
      <c r="A36" s="406" t="s">
        <v>625</v>
      </c>
      <c r="B36" s="407" t="s">
        <v>638</v>
      </c>
      <c r="C36" s="408">
        <v>291949</v>
      </c>
      <c r="D36" s="407" t="s">
        <v>632</v>
      </c>
    </row>
    <row r="37" spans="1:4" ht="48" thickBot="1" x14ac:dyDescent="0.3">
      <c r="A37" s="406" t="s">
        <v>625</v>
      </c>
      <c r="B37" s="407" t="s">
        <v>639</v>
      </c>
      <c r="C37" s="408">
        <v>939600</v>
      </c>
      <c r="D37" s="407" t="s">
        <v>640</v>
      </c>
    </row>
    <row r="38" spans="1:4" ht="48" thickBot="1" x14ac:dyDescent="0.3">
      <c r="A38" s="406" t="s">
        <v>625</v>
      </c>
      <c r="B38" s="407" t="s">
        <v>641</v>
      </c>
      <c r="C38" s="408">
        <v>540000</v>
      </c>
      <c r="D38" s="407" t="s">
        <v>640</v>
      </c>
    </row>
    <row r="39" spans="1:4" ht="48" thickBot="1" x14ac:dyDescent="0.3">
      <c r="A39" s="406" t="s">
        <v>625</v>
      </c>
      <c r="B39" s="407" t="s">
        <v>642</v>
      </c>
      <c r="C39" s="408">
        <v>600000</v>
      </c>
      <c r="D39" s="407" t="s">
        <v>640</v>
      </c>
    </row>
    <row r="40" spans="1:4" ht="48" thickBot="1" x14ac:dyDescent="0.3">
      <c r="A40" s="406" t="s">
        <v>625</v>
      </c>
      <c r="B40" s="407" t="s">
        <v>643</v>
      </c>
      <c r="C40" s="408">
        <v>1654000</v>
      </c>
      <c r="D40" s="407" t="s">
        <v>632</v>
      </c>
    </row>
    <row r="41" spans="1:4" ht="16.5" thickBot="1" x14ac:dyDescent="0.3">
      <c r="A41" s="406"/>
      <c r="B41" s="407"/>
      <c r="C41" s="407"/>
      <c r="D41" s="407"/>
    </row>
    <row r="42" spans="1:4" ht="16.5" thickBot="1" x14ac:dyDescent="0.3">
      <c r="A42" s="406"/>
      <c r="B42" s="407"/>
      <c r="C42" s="407"/>
      <c r="D42" s="407"/>
    </row>
  </sheetData>
  <mergeCells count="15">
    <mergeCell ref="A23:A24"/>
    <mergeCell ref="B23:B24"/>
    <mergeCell ref="C23:C24"/>
    <mergeCell ref="D23:D24"/>
    <mergeCell ref="A26:A28"/>
    <mergeCell ref="B26:B28"/>
    <mergeCell ref="A20:A21"/>
    <mergeCell ref="B20:B21"/>
    <mergeCell ref="C20:C21"/>
    <mergeCell ref="D20:D21"/>
    <mergeCell ref="A5:A7"/>
    <mergeCell ref="B5:B7"/>
    <mergeCell ref="D5:D7"/>
    <mergeCell ref="A10:A19"/>
    <mergeCell ref="B10:B19"/>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V65"/>
  <sheetViews>
    <sheetView zoomScale="70" zoomScaleNormal="70" zoomScalePageLayoutView="70" workbookViewId="0">
      <pane ySplit="9" topLeftCell="A10" activePane="bottomLeft" state="frozen"/>
      <selection pane="bottomLeft" activeCell="A8" sqref="A8:F9"/>
    </sheetView>
  </sheetViews>
  <sheetFormatPr baseColWidth="10" defaultColWidth="11.42578125" defaultRowHeight="15" x14ac:dyDescent="0.25"/>
  <cols>
    <col min="1" max="1" width="5.140625" style="1" customWidth="1"/>
    <col min="2" max="2" width="23.7109375" style="1" hidden="1" customWidth="1"/>
    <col min="3" max="3" width="11" style="4" customWidth="1"/>
    <col min="4" max="4" width="65.28515625" style="6" customWidth="1"/>
    <col min="5" max="5" width="6.85546875" style="18" customWidth="1"/>
    <col min="6" max="6" width="9.140625" style="2" customWidth="1"/>
    <col min="7" max="7" width="13.7109375" style="12" customWidth="1"/>
    <col min="8" max="8" width="12" style="12" customWidth="1"/>
    <col min="9" max="9" width="14.42578125" style="12" customWidth="1"/>
    <col min="10" max="10" width="19.7109375" style="12" bestFit="1" customWidth="1"/>
    <col min="11" max="11" width="12" style="1" customWidth="1"/>
    <col min="12" max="12" width="12.140625" style="1" customWidth="1"/>
    <col min="13" max="13" width="14.42578125" style="1" customWidth="1"/>
    <col min="14" max="14" width="19.7109375" style="1" bestFit="1" customWidth="1"/>
    <col min="15" max="15" width="15.85546875" style="1" customWidth="1"/>
    <col min="16" max="16" width="14" style="1" customWidth="1"/>
    <col min="17" max="17" width="16.28515625" style="1" customWidth="1"/>
    <col min="18" max="18" width="19.7109375" style="1" bestFit="1" customWidth="1"/>
    <col min="19" max="19" width="17" style="1" customWidth="1"/>
    <col min="20" max="20" width="16.140625" style="1" customWidth="1"/>
    <col min="21" max="21" width="6" style="91" customWidth="1"/>
    <col min="22" max="22" width="21.42578125" style="1" customWidth="1"/>
    <col min="23" max="16384" width="11.42578125" style="1"/>
  </cols>
  <sheetData>
    <row r="4" spans="1:22" s="5" customFormat="1" ht="23.25" customHeight="1" x14ac:dyDescent="0.35">
      <c r="A4" s="522" t="s">
        <v>45</v>
      </c>
      <c r="B4" s="522"/>
      <c r="C4" s="522"/>
      <c r="D4" s="522"/>
      <c r="E4" s="522"/>
      <c r="F4" s="522"/>
      <c r="G4" s="522"/>
      <c r="H4" s="522"/>
      <c r="I4" s="522"/>
      <c r="J4" s="522"/>
      <c r="K4" s="522"/>
      <c r="L4" s="522"/>
      <c r="M4" s="522"/>
      <c r="N4" s="522"/>
      <c r="O4" s="522"/>
      <c r="P4" s="522"/>
      <c r="Q4" s="522"/>
      <c r="R4" s="522"/>
      <c r="S4" s="522"/>
      <c r="T4" s="522"/>
      <c r="U4" s="522"/>
      <c r="V4" s="522"/>
    </row>
    <row r="5" spans="1:22" s="5" customFormat="1" ht="18.75" customHeight="1" x14ac:dyDescent="0.25">
      <c r="U5" s="90"/>
    </row>
    <row r="6" spans="1:22" s="5" customFormat="1" ht="16.5" thickBot="1" x14ac:dyDescent="0.3">
      <c r="A6" s="8"/>
      <c r="B6" s="8"/>
      <c r="C6" s="8"/>
      <c r="D6" s="8"/>
      <c r="E6" s="22"/>
      <c r="F6" s="8"/>
      <c r="G6" s="13"/>
      <c r="H6" s="13"/>
      <c r="I6" s="13"/>
      <c r="J6" s="13"/>
      <c r="U6" s="90"/>
    </row>
    <row r="7" spans="1:22" ht="21.75" thickBot="1" x14ac:dyDescent="0.4">
      <c r="E7" s="41"/>
      <c r="F7" s="45"/>
      <c r="G7" s="532" t="s">
        <v>57</v>
      </c>
      <c r="H7" s="533"/>
      <c r="I7" s="533"/>
      <c r="J7" s="534"/>
      <c r="K7" s="535" t="s">
        <v>58</v>
      </c>
      <c r="L7" s="536"/>
      <c r="M7" s="536"/>
      <c r="N7" s="537"/>
      <c r="O7" s="523" t="s">
        <v>59</v>
      </c>
      <c r="P7" s="524"/>
      <c r="Q7" s="524"/>
      <c r="R7" s="524"/>
      <c r="S7" s="503" t="s">
        <v>60</v>
      </c>
      <c r="T7" s="503" t="s">
        <v>42</v>
      </c>
      <c r="U7" s="512" t="s">
        <v>43</v>
      </c>
      <c r="V7" s="503" t="s">
        <v>44</v>
      </c>
    </row>
    <row r="8" spans="1:22" s="5" customFormat="1" ht="15" customHeight="1" x14ac:dyDescent="0.25">
      <c r="A8" s="451" t="s">
        <v>0</v>
      </c>
      <c r="B8" s="451" t="s">
        <v>24</v>
      </c>
      <c r="C8" s="451" t="s">
        <v>1</v>
      </c>
      <c r="D8" s="451" t="s">
        <v>8</v>
      </c>
      <c r="E8" s="451" t="s">
        <v>12</v>
      </c>
      <c r="F8" s="482" t="s">
        <v>13</v>
      </c>
      <c r="G8" s="488" t="s">
        <v>2</v>
      </c>
      <c r="H8" s="486" t="s">
        <v>11</v>
      </c>
      <c r="I8" s="478" t="s">
        <v>39</v>
      </c>
      <c r="J8" s="484" t="s">
        <v>40</v>
      </c>
      <c r="K8" s="480" t="s">
        <v>2</v>
      </c>
      <c r="L8" s="476" t="s">
        <v>11</v>
      </c>
      <c r="M8" s="464" t="s">
        <v>39</v>
      </c>
      <c r="N8" s="465" t="s">
        <v>40</v>
      </c>
      <c r="O8" s="525" t="s">
        <v>2</v>
      </c>
      <c r="P8" s="527" t="s">
        <v>11</v>
      </c>
      <c r="Q8" s="529" t="s">
        <v>39</v>
      </c>
      <c r="R8" s="530" t="s">
        <v>40</v>
      </c>
      <c r="S8" s="504"/>
      <c r="T8" s="504"/>
      <c r="U8" s="513"/>
      <c r="V8" s="504"/>
    </row>
    <row r="9" spans="1:22" s="5" customFormat="1" ht="48" customHeight="1" thickBot="1" x14ac:dyDescent="0.3">
      <c r="A9" s="452"/>
      <c r="B9" s="452"/>
      <c r="C9" s="452"/>
      <c r="D9" s="452"/>
      <c r="E9" s="452"/>
      <c r="F9" s="483"/>
      <c r="G9" s="489"/>
      <c r="H9" s="487"/>
      <c r="I9" s="479"/>
      <c r="J9" s="485"/>
      <c r="K9" s="481"/>
      <c r="L9" s="477"/>
      <c r="M9" s="464"/>
      <c r="N9" s="466"/>
      <c r="O9" s="526"/>
      <c r="P9" s="528"/>
      <c r="Q9" s="529"/>
      <c r="R9" s="531"/>
      <c r="S9" s="505"/>
      <c r="T9" s="505"/>
      <c r="U9" s="514"/>
      <c r="V9" s="505"/>
    </row>
    <row r="10" spans="1:22" s="5" customFormat="1" ht="48" customHeight="1" thickBot="1" x14ac:dyDescent="0.3">
      <c r="A10" s="127"/>
      <c r="B10" s="128"/>
      <c r="C10" s="128"/>
      <c r="D10" s="128"/>
      <c r="E10" s="128"/>
      <c r="F10" s="128"/>
      <c r="G10" s="129"/>
      <c r="H10" s="125"/>
      <c r="I10" s="125"/>
      <c r="J10" s="130"/>
      <c r="K10" s="131"/>
      <c r="L10" s="124"/>
      <c r="M10" s="124"/>
      <c r="N10" s="132"/>
      <c r="O10" s="133"/>
      <c r="P10" s="126"/>
      <c r="Q10" s="126"/>
      <c r="R10" s="134"/>
      <c r="S10" s="135"/>
      <c r="T10" s="135"/>
      <c r="U10" s="136"/>
      <c r="V10" s="135"/>
    </row>
    <row r="11" spans="1:22" ht="45" x14ac:dyDescent="0.25">
      <c r="A11" s="453">
        <v>1</v>
      </c>
      <c r="B11" s="456"/>
      <c r="C11" s="456" t="s">
        <v>17</v>
      </c>
      <c r="D11" s="23" t="s">
        <v>3</v>
      </c>
      <c r="E11" s="24">
        <v>1</v>
      </c>
      <c r="F11" s="46">
        <v>1</v>
      </c>
      <c r="G11" s="52">
        <v>5415022.820453315</v>
      </c>
      <c r="H11" s="42">
        <f>+G11*16%</f>
        <v>866403.65127253043</v>
      </c>
      <c r="I11" s="42">
        <f>+H11+G11</f>
        <v>6281426.4717258457</v>
      </c>
      <c r="J11" s="59">
        <f>+I11*F11*E11</f>
        <v>6281426.4717258457</v>
      </c>
      <c r="K11" s="52">
        <v>660000</v>
      </c>
      <c r="L11" s="26">
        <f>+K11*16%</f>
        <v>105600</v>
      </c>
      <c r="M11" s="26">
        <f>+L11+K11</f>
        <v>765600</v>
      </c>
      <c r="N11" s="63">
        <f>+M11*E11*F11</f>
        <v>765600</v>
      </c>
      <c r="O11" s="52">
        <v>500000</v>
      </c>
      <c r="P11" s="26">
        <f>+O11*16%</f>
        <v>80000</v>
      </c>
      <c r="Q11" s="26">
        <f>+P11+O11</f>
        <v>580000</v>
      </c>
      <c r="R11" s="63">
        <f>+Q11*F11*E11</f>
        <v>580000</v>
      </c>
      <c r="S11" s="84">
        <f>AVERAGE(N11,R11)</f>
        <v>672800</v>
      </c>
      <c r="T11" s="506">
        <f>SUM(S11:S21)</f>
        <v>74511092</v>
      </c>
      <c r="U11" s="515">
        <v>1</v>
      </c>
      <c r="V11" s="506">
        <f>+U11*T11</f>
        <v>74511092</v>
      </c>
    </row>
    <row r="12" spans="1:22" ht="90" customHeight="1" x14ac:dyDescent="0.25">
      <c r="A12" s="454"/>
      <c r="B12" s="457"/>
      <c r="C12" s="457"/>
      <c r="D12" s="27" t="s">
        <v>20</v>
      </c>
      <c r="E12" s="28">
        <v>5</v>
      </c>
      <c r="F12" s="47">
        <v>7</v>
      </c>
      <c r="G12" s="53">
        <v>1315076.9706815192</v>
      </c>
      <c r="H12" s="30">
        <f t="shared" ref="H12:H21" si="0">+G12*16%</f>
        <v>210412.31530904307</v>
      </c>
      <c r="I12" s="30">
        <f t="shared" ref="I12:I52" si="1">+H12+G12</f>
        <v>1525489.2859905623</v>
      </c>
      <c r="J12" s="60">
        <f t="shared" ref="J12:J52" si="2">+I12*F12*E12</f>
        <v>53392125.009669676</v>
      </c>
      <c r="K12" s="53">
        <v>350000</v>
      </c>
      <c r="L12" s="30">
        <f t="shared" ref="L12:L21" si="3">+K12*16%</f>
        <v>56000</v>
      </c>
      <c r="M12" s="30">
        <f t="shared" ref="M12:M52" si="4">+L12+K12</f>
        <v>406000</v>
      </c>
      <c r="N12" s="60">
        <f t="shared" ref="N12:N21" si="5">+M12*E12*F12</f>
        <v>14210000</v>
      </c>
      <c r="O12" s="53">
        <v>250000</v>
      </c>
      <c r="P12" s="30">
        <f t="shared" ref="P12:P21" si="6">+O12*16%</f>
        <v>40000</v>
      </c>
      <c r="Q12" s="30">
        <f t="shared" ref="Q12:Q52" si="7">+P12+O12</f>
        <v>290000</v>
      </c>
      <c r="R12" s="60">
        <f t="shared" ref="R12:R52" si="8">+Q12*F12*E12</f>
        <v>10150000</v>
      </c>
      <c r="S12" s="85">
        <f t="shared" ref="S12:S52" si="9">AVERAGE(N12,R12)</f>
        <v>12180000</v>
      </c>
      <c r="T12" s="507"/>
      <c r="U12" s="516"/>
      <c r="V12" s="507"/>
    </row>
    <row r="13" spans="1:22" ht="60" x14ac:dyDescent="0.25">
      <c r="A13" s="454"/>
      <c r="B13" s="457"/>
      <c r="C13" s="457"/>
      <c r="D13" s="31" t="s">
        <v>19</v>
      </c>
      <c r="E13" s="29">
        <v>5</v>
      </c>
      <c r="F13" s="47">
        <v>6</v>
      </c>
      <c r="G13" s="53">
        <v>409994.58497717953</v>
      </c>
      <c r="H13" s="30">
        <f t="shared" si="0"/>
        <v>65599.133596348722</v>
      </c>
      <c r="I13" s="30">
        <f t="shared" si="1"/>
        <v>475593.71857352823</v>
      </c>
      <c r="J13" s="60">
        <f t="shared" si="2"/>
        <v>14267811.557205845</v>
      </c>
      <c r="K13" s="53">
        <v>230000</v>
      </c>
      <c r="L13" s="30">
        <f t="shared" si="3"/>
        <v>36800</v>
      </c>
      <c r="M13" s="30">
        <f t="shared" si="4"/>
        <v>266800</v>
      </c>
      <c r="N13" s="60">
        <f t="shared" si="5"/>
        <v>8004000</v>
      </c>
      <c r="O13" s="53">
        <v>220000</v>
      </c>
      <c r="P13" s="30">
        <f t="shared" si="6"/>
        <v>35200</v>
      </c>
      <c r="Q13" s="30">
        <f t="shared" si="7"/>
        <v>255200</v>
      </c>
      <c r="R13" s="60">
        <f t="shared" si="8"/>
        <v>7656000</v>
      </c>
      <c r="S13" s="85">
        <f t="shared" si="9"/>
        <v>7830000</v>
      </c>
      <c r="T13" s="507"/>
      <c r="U13" s="516"/>
      <c r="V13" s="507"/>
    </row>
    <row r="14" spans="1:22" ht="90" x14ac:dyDescent="0.25">
      <c r="A14" s="454"/>
      <c r="B14" s="457"/>
      <c r="C14" s="457"/>
      <c r="D14" s="31" t="s">
        <v>18</v>
      </c>
      <c r="E14" s="29">
        <v>5</v>
      </c>
      <c r="F14" s="47">
        <v>7</v>
      </c>
      <c r="G14" s="53">
        <v>232072.40659085635</v>
      </c>
      <c r="H14" s="30">
        <f t="shared" si="0"/>
        <v>37131.585054537019</v>
      </c>
      <c r="I14" s="30">
        <f t="shared" si="1"/>
        <v>269203.99164539337</v>
      </c>
      <c r="J14" s="60">
        <f t="shared" si="2"/>
        <v>9422139.7075887676</v>
      </c>
      <c r="K14" s="53">
        <v>150000</v>
      </c>
      <c r="L14" s="30">
        <f t="shared" si="3"/>
        <v>24000</v>
      </c>
      <c r="M14" s="30">
        <f t="shared" si="4"/>
        <v>174000</v>
      </c>
      <c r="N14" s="60">
        <f t="shared" si="5"/>
        <v>6090000</v>
      </c>
      <c r="O14" s="53">
        <v>120000</v>
      </c>
      <c r="P14" s="30">
        <f t="shared" si="6"/>
        <v>19200</v>
      </c>
      <c r="Q14" s="30">
        <f t="shared" si="7"/>
        <v>139200</v>
      </c>
      <c r="R14" s="60">
        <f t="shared" si="8"/>
        <v>4872000</v>
      </c>
      <c r="S14" s="85">
        <f t="shared" si="9"/>
        <v>5481000</v>
      </c>
      <c r="T14" s="507"/>
      <c r="U14" s="516"/>
      <c r="V14" s="507"/>
    </row>
    <row r="15" spans="1:22" ht="75" x14ac:dyDescent="0.25">
      <c r="A15" s="454"/>
      <c r="B15" s="457"/>
      <c r="C15" s="457"/>
      <c r="D15" s="32" t="s">
        <v>21</v>
      </c>
      <c r="E15" s="28">
        <v>5</v>
      </c>
      <c r="F15" s="47">
        <v>6</v>
      </c>
      <c r="G15" s="53">
        <v>123771.95018179006</v>
      </c>
      <c r="H15" s="30">
        <f t="shared" si="0"/>
        <v>19803.512029086411</v>
      </c>
      <c r="I15" s="30">
        <f t="shared" si="1"/>
        <v>143575.46221087646</v>
      </c>
      <c r="J15" s="60">
        <f t="shared" si="2"/>
        <v>4307263.8663262939</v>
      </c>
      <c r="K15" s="53">
        <v>80000</v>
      </c>
      <c r="L15" s="30">
        <f t="shared" si="3"/>
        <v>12800</v>
      </c>
      <c r="M15" s="30">
        <f t="shared" si="4"/>
        <v>92800</v>
      </c>
      <c r="N15" s="60">
        <f t="shared" si="5"/>
        <v>2784000</v>
      </c>
      <c r="O15" s="53">
        <v>40000</v>
      </c>
      <c r="P15" s="30">
        <f t="shared" si="6"/>
        <v>6400</v>
      </c>
      <c r="Q15" s="30">
        <f t="shared" si="7"/>
        <v>46400</v>
      </c>
      <c r="R15" s="60">
        <f t="shared" si="8"/>
        <v>1392000</v>
      </c>
      <c r="S15" s="85">
        <f t="shared" si="9"/>
        <v>2088000</v>
      </c>
      <c r="T15" s="507"/>
      <c r="U15" s="516"/>
      <c r="V15" s="507"/>
    </row>
    <row r="16" spans="1:22" ht="75" x14ac:dyDescent="0.25">
      <c r="A16" s="454"/>
      <c r="B16" s="457"/>
      <c r="C16" s="457"/>
      <c r="D16" s="33" t="s">
        <v>38</v>
      </c>
      <c r="E16" s="28">
        <v>5</v>
      </c>
      <c r="F16" s="47">
        <v>200</v>
      </c>
      <c r="G16" s="53">
        <v>20112.941904540883</v>
      </c>
      <c r="H16" s="30">
        <f t="shared" si="0"/>
        <v>3218.0707047265414</v>
      </c>
      <c r="I16" s="30">
        <f t="shared" si="1"/>
        <v>23331.012609267425</v>
      </c>
      <c r="J16" s="60">
        <f t="shared" si="2"/>
        <v>23331012.609267425</v>
      </c>
      <c r="K16" s="53">
        <v>22000</v>
      </c>
      <c r="L16" s="30">
        <f t="shared" si="3"/>
        <v>3520</v>
      </c>
      <c r="M16" s="30">
        <f t="shared" si="4"/>
        <v>25520</v>
      </c>
      <c r="N16" s="60">
        <f t="shared" si="5"/>
        <v>25520000</v>
      </c>
      <c r="O16" s="53">
        <v>13500</v>
      </c>
      <c r="P16" s="30">
        <f t="shared" si="6"/>
        <v>2160</v>
      </c>
      <c r="Q16" s="30">
        <f t="shared" si="7"/>
        <v>15660</v>
      </c>
      <c r="R16" s="60">
        <f t="shared" si="8"/>
        <v>15660000</v>
      </c>
      <c r="S16" s="85">
        <f t="shared" si="9"/>
        <v>20590000</v>
      </c>
      <c r="T16" s="507"/>
      <c r="U16" s="516"/>
      <c r="V16" s="507"/>
    </row>
    <row r="17" spans="1:22" ht="150" x14ac:dyDescent="0.25">
      <c r="A17" s="454"/>
      <c r="B17" s="457"/>
      <c r="C17" s="457"/>
      <c r="D17" s="27" t="s">
        <v>36</v>
      </c>
      <c r="E17" s="28">
        <v>5</v>
      </c>
      <c r="F17" s="47">
        <v>100</v>
      </c>
      <c r="G17" s="53">
        <v>92828.962636342549</v>
      </c>
      <c r="H17" s="30">
        <f t="shared" si="0"/>
        <v>14852.634021814809</v>
      </c>
      <c r="I17" s="30">
        <f t="shared" si="1"/>
        <v>107681.59665815736</v>
      </c>
      <c r="J17" s="60">
        <f t="shared" si="2"/>
        <v>53840798.329078674</v>
      </c>
      <c r="K17" s="53">
        <v>48000</v>
      </c>
      <c r="L17" s="30">
        <f t="shared" si="3"/>
        <v>7680</v>
      </c>
      <c r="M17" s="30">
        <f t="shared" si="4"/>
        <v>55680</v>
      </c>
      <c r="N17" s="60">
        <f t="shared" si="5"/>
        <v>27840000</v>
      </c>
      <c r="O17" s="53">
        <v>35000</v>
      </c>
      <c r="P17" s="30">
        <f t="shared" si="6"/>
        <v>5600</v>
      </c>
      <c r="Q17" s="30">
        <f t="shared" si="7"/>
        <v>40600</v>
      </c>
      <c r="R17" s="60">
        <f t="shared" si="8"/>
        <v>20300000</v>
      </c>
      <c r="S17" s="85">
        <f t="shared" si="9"/>
        <v>24070000</v>
      </c>
      <c r="T17" s="507"/>
      <c r="U17" s="516"/>
      <c r="V17" s="507"/>
    </row>
    <row r="18" spans="1:22" ht="30" x14ac:dyDescent="0.25">
      <c r="A18" s="454"/>
      <c r="B18" s="457"/>
      <c r="C18" s="457"/>
      <c r="D18" s="34" t="s">
        <v>4</v>
      </c>
      <c r="E18" s="29">
        <v>1</v>
      </c>
      <c r="F18" s="47">
        <v>1</v>
      </c>
      <c r="G18" s="53">
        <v>541502.28204533155</v>
      </c>
      <c r="H18" s="30">
        <f t="shared" si="0"/>
        <v>86640.365127253055</v>
      </c>
      <c r="I18" s="30">
        <f t="shared" si="1"/>
        <v>628142.64717258466</v>
      </c>
      <c r="J18" s="60">
        <f t="shared" si="2"/>
        <v>628142.64717258466</v>
      </c>
      <c r="K18" s="53">
        <v>300000</v>
      </c>
      <c r="L18" s="30">
        <f t="shared" si="3"/>
        <v>48000</v>
      </c>
      <c r="M18" s="30">
        <f t="shared" si="4"/>
        <v>348000</v>
      </c>
      <c r="N18" s="60">
        <f t="shared" si="5"/>
        <v>348000</v>
      </c>
      <c r="O18" s="53">
        <v>230000</v>
      </c>
      <c r="P18" s="30">
        <f t="shared" si="6"/>
        <v>36800</v>
      </c>
      <c r="Q18" s="30">
        <f t="shared" si="7"/>
        <v>266800</v>
      </c>
      <c r="R18" s="60">
        <f t="shared" si="8"/>
        <v>266800</v>
      </c>
      <c r="S18" s="85">
        <f t="shared" si="9"/>
        <v>307400</v>
      </c>
      <c r="T18" s="507"/>
      <c r="U18" s="516"/>
      <c r="V18" s="507"/>
    </row>
    <row r="19" spans="1:22" ht="15" customHeight="1" x14ac:dyDescent="0.25">
      <c r="A19" s="454"/>
      <c r="B19" s="457"/>
      <c r="C19" s="457"/>
      <c r="D19" s="32" t="s">
        <v>5</v>
      </c>
      <c r="E19" s="28">
        <v>1</v>
      </c>
      <c r="F19" s="47">
        <v>1</v>
      </c>
      <c r="G19" s="53">
        <v>116036.20329542817</v>
      </c>
      <c r="H19" s="30">
        <f t="shared" si="0"/>
        <v>18565.79252726851</v>
      </c>
      <c r="I19" s="30">
        <f t="shared" si="1"/>
        <v>134601.99582269668</v>
      </c>
      <c r="J19" s="60">
        <f t="shared" si="2"/>
        <v>134601.99582269668</v>
      </c>
      <c r="K19" s="53">
        <v>80000</v>
      </c>
      <c r="L19" s="30">
        <f t="shared" si="3"/>
        <v>12800</v>
      </c>
      <c r="M19" s="30">
        <f t="shared" si="4"/>
        <v>92800</v>
      </c>
      <c r="N19" s="60">
        <f t="shared" si="5"/>
        <v>92800</v>
      </c>
      <c r="O19" s="53">
        <v>70000</v>
      </c>
      <c r="P19" s="30">
        <f t="shared" si="6"/>
        <v>11200</v>
      </c>
      <c r="Q19" s="30">
        <f t="shared" si="7"/>
        <v>81200</v>
      </c>
      <c r="R19" s="60">
        <f t="shared" si="8"/>
        <v>81200</v>
      </c>
      <c r="S19" s="85">
        <f t="shared" si="9"/>
        <v>87000</v>
      </c>
      <c r="T19" s="507"/>
      <c r="U19" s="516"/>
      <c r="V19" s="507"/>
    </row>
    <row r="20" spans="1:22" ht="90" x14ac:dyDescent="0.25">
      <c r="A20" s="454"/>
      <c r="B20" s="457"/>
      <c r="C20" s="457"/>
      <c r="D20" s="32" t="s">
        <v>6</v>
      </c>
      <c r="E20" s="28">
        <v>1</v>
      </c>
      <c r="F20" s="47">
        <v>100</v>
      </c>
      <c r="G20" s="53">
        <v>11603.620329542819</v>
      </c>
      <c r="H20" s="30">
        <f t="shared" si="0"/>
        <v>1856.5792527268511</v>
      </c>
      <c r="I20" s="30">
        <f t="shared" si="1"/>
        <v>13460.19958226967</v>
      </c>
      <c r="J20" s="60">
        <f t="shared" si="2"/>
        <v>1346019.9582269669</v>
      </c>
      <c r="K20" s="53">
        <v>4800</v>
      </c>
      <c r="L20" s="30">
        <f t="shared" si="3"/>
        <v>768</v>
      </c>
      <c r="M20" s="30">
        <f t="shared" si="4"/>
        <v>5568</v>
      </c>
      <c r="N20" s="60">
        <f t="shared" si="5"/>
        <v>556800</v>
      </c>
      <c r="O20" s="53">
        <v>4500</v>
      </c>
      <c r="P20" s="30">
        <f t="shared" si="6"/>
        <v>720</v>
      </c>
      <c r="Q20" s="30">
        <f t="shared" si="7"/>
        <v>5220</v>
      </c>
      <c r="R20" s="60">
        <f t="shared" si="8"/>
        <v>522000</v>
      </c>
      <c r="S20" s="85">
        <f t="shared" si="9"/>
        <v>539400</v>
      </c>
      <c r="T20" s="507"/>
      <c r="U20" s="516"/>
      <c r="V20" s="507"/>
    </row>
    <row r="21" spans="1:22" ht="90.75" thickBot="1" x14ac:dyDescent="0.3">
      <c r="A21" s="455"/>
      <c r="B21" s="458"/>
      <c r="C21" s="458"/>
      <c r="D21" s="35" t="s">
        <v>14</v>
      </c>
      <c r="E21" s="36">
        <v>1</v>
      </c>
      <c r="F21" s="48">
        <v>1</v>
      </c>
      <c r="G21" s="54">
        <v>4641448.1318171266</v>
      </c>
      <c r="H21" s="44">
        <f t="shared" si="0"/>
        <v>742631.70109074027</v>
      </c>
      <c r="I21" s="44">
        <f t="shared" si="1"/>
        <v>5384079.8329078667</v>
      </c>
      <c r="J21" s="61">
        <f t="shared" si="2"/>
        <v>5384079.8329078667</v>
      </c>
      <c r="K21" s="62">
        <v>297400</v>
      </c>
      <c r="L21" s="43">
        <f t="shared" si="3"/>
        <v>47584</v>
      </c>
      <c r="M21" s="43">
        <f t="shared" si="4"/>
        <v>344984</v>
      </c>
      <c r="N21" s="75">
        <f t="shared" si="5"/>
        <v>344984</v>
      </c>
      <c r="O21" s="62">
        <v>850000</v>
      </c>
      <c r="P21" s="43">
        <f t="shared" si="6"/>
        <v>136000</v>
      </c>
      <c r="Q21" s="43">
        <f t="shared" si="7"/>
        <v>986000</v>
      </c>
      <c r="R21" s="75">
        <f t="shared" si="8"/>
        <v>986000</v>
      </c>
      <c r="S21" s="86">
        <f t="shared" si="9"/>
        <v>665492</v>
      </c>
      <c r="T21" s="508"/>
      <c r="U21" s="517"/>
      <c r="V21" s="508"/>
    </row>
    <row r="22" spans="1:22" s="39" customFormat="1" ht="45" customHeight="1" x14ac:dyDescent="0.25">
      <c r="A22" s="459">
        <v>2</v>
      </c>
      <c r="B22" s="460"/>
      <c r="C22" s="460" t="s">
        <v>22</v>
      </c>
      <c r="D22" s="14" t="s">
        <v>3</v>
      </c>
      <c r="E22" s="19">
        <v>1</v>
      </c>
      <c r="F22" s="49">
        <v>1</v>
      </c>
      <c r="G22" s="55">
        <v>5415022.820453315</v>
      </c>
      <c r="H22" s="15">
        <f>+G22*16%</f>
        <v>866403.65127253043</v>
      </c>
      <c r="I22" s="15">
        <f t="shared" si="1"/>
        <v>6281426.4717258457</v>
      </c>
      <c r="J22" s="65">
        <f t="shared" si="2"/>
        <v>6281426.4717258457</v>
      </c>
      <c r="K22" s="58">
        <v>660000</v>
      </c>
      <c r="L22" s="15">
        <f>+K22*16%</f>
        <v>105600</v>
      </c>
      <c r="M22" s="15">
        <f t="shared" si="4"/>
        <v>765600</v>
      </c>
      <c r="N22" s="65">
        <f>+M22*E22*F22</f>
        <v>765600</v>
      </c>
      <c r="O22" s="58">
        <v>500000</v>
      </c>
      <c r="P22" s="15">
        <f>+O22*16%</f>
        <v>80000</v>
      </c>
      <c r="Q22" s="15">
        <f t="shared" si="7"/>
        <v>580000</v>
      </c>
      <c r="R22" s="65">
        <f t="shared" si="8"/>
        <v>580000</v>
      </c>
      <c r="S22" s="83">
        <f t="shared" si="9"/>
        <v>672800</v>
      </c>
      <c r="T22" s="509">
        <f>SUM(S22:S32)</f>
        <v>74522692</v>
      </c>
      <c r="U22" s="518">
        <v>1</v>
      </c>
      <c r="V22" s="509">
        <f>+U22*T22</f>
        <v>74522692</v>
      </c>
    </row>
    <row r="23" spans="1:22" s="39" customFormat="1" ht="90" x14ac:dyDescent="0.25">
      <c r="A23" s="442"/>
      <c r="B23" s="445"/>
      <c r="C23" s="445"/>
      <c r="D23" s="7" t="s">
        <v>20</v>
      </c>
      <c r="E23" s="20">
        <v>5</v>
      </c>
      <c r="F23" s="50">
        <v>7</v>
      </c>
      <c r="G23" s="56">
        <v>1315076.9706815192</v>
      </c>
      <c r="H23" s="10">
        <f>+G23*16%</f>
        <v>210412.31530904307</v>
      </c>
      <c r="I23" s="10">
        <f t="shared" si="1"/>
        <v>1525489.2859905623</v>
      </c>
      <c r="J23" s="66">
        <f t="shared" si="2"/>
        <v>53392125.009669676</v>
      </c>
      <c r="K23" s="56">
        <v>350000</v>
      </c>
      <c r="L23" s="10">
        <f>+K23*16%</f>
        <v>56000</v>
      </c>
      <c r="M23" s="10">
        <f t="shared" si="4"/>
        <v>406000</v>
      </c>
      <c r="N23" s="66">
        <f t="shared" ref="N23:N32" si="10">+M23*E23*F23</f>
        <v>14210000</v>
      </c>
      <c r="O23" s="56">
        <v>250000</v>
      </c>
      <c r="P23" s="10">
        <f>+O23*16%</f>
        <v>40000</v>
      </c>
      <c r="Q23" s="10">
        <f t="shared" si="7"/>
        <v>290000</v>
      </c>
      <c r="R23" s="66">
        <f t="shared" si="8"/>
        <v>10150000</v>
      </c>
      <c r="S23" s="81">
        <f t="shared" si="9"/>
        <v>12180000</v>
      </c>
      <c r="T23" s="510"/>
      <c r="U23" s="519"/>
      <c r="V23" s="510"/>
    </row>
    <row r="24" spans="1:22" s="39" customFormat="1" ht="60" x14ac:dyDescent="0.25">
      <c r="A24" s="442"/>
      <c r="B24" s="445"/>
      <c r="C24" s="445"/>
      <c r="D24" s="3" t="s">
        <v>19</v>
      </c>
      <c r="E24" s="40">
        <v>5</v>
      </c>
      <c r="F24" s="50">
        <v>6</v>
      </c>
      <c r="G24" s="56">
        <v>409994.58497717953</v>
      </c>
      <c r="H24" s="10">
        <f t="shared" ref="H24:H32" si="11">+G24*16%</f>
        <v>65599.133596348722</v>
      </c>
      <c r="I24" s="10">
        <f t="shared" si="1"/>
        <v>475593.71857352823</v>
      </c>
      <c r="J24" s="66">
        <f t="shared" si="2"/>
        <v>14267811.557205845</v>
      </c>
      <c r="K24" s="56">
        <v>230000</v>
      </c>
      <c r="L24" s="10">
        <f t="shared" ref="L24:L32" si="12">+K24*16%</f>
        <v>36800</v>
      </c>
      <c r="M24" s="10">
        <f t="shared" si="4"/>
        <v>266800</v>
      </c>
      <c r="N24" s="66">
        <f t="shared" si="10"/>
        <v>8004000</v>
      </c>
      <c r="O24" s="56">
        <v>220000</v>
      </c>
      <c r="P24" s="10">
        <f t="shared" ref="P24:P32" si="13">+O24*16%</f>
        <v>35200</v>
      </c>
      <c r="Q24" s="10">
        <f t="shared" si="7"/>
        <v>255200</v>
      </c>
      <c r="R24" s="66">
        <f t="shared" si="8"/>
        <v>7656000</v>
      </c>
      <c r="S24" s="81">
        <f t="shared" si="9"/>
        <v>7830000</v>
      </c>
      <c r="T24" s="510"/>
      <c r="U24" s="519"/>
      <c r="V24" s="510"/>
    </row>
    <row r="25" spans="1:22" s="39" customFormat="1" ht="90" x14ac:dyDescent="0.25">
      <c r="A25" s="442"/>
      <c r="B25" s="445"/>
      <c r="C25" s="445"/>
      <c r="D25" s="3" t="s">
        <v>18</v>
      </c>
      <c r="E25" s="40">
        <v>5</v>
      </c>
      <c r="F25" s="50">
        <v>7</v>
      </c>
      <c r="G25" s="56">
        <v>232072.40659085635</v>
      </c>
      <c r="H25" s="10">
        <f t="shared" si="11"/>
        <v>37131.585054537019</v>
      </c>
      <c r="I25" s="10">
        <f t="shared" si="1"/>
        <v>269203.99164539337</v>
      </c>
      <c r="J25" s="66">
        <f t="shared" si="2"/>
        <v>9422139.7075887676</v>
      </c>
      <c r="K25" s="56">
        <v>150000</v>
      </c>
      <c r="L25" s="10">
        <f t="shared" si="12"/>
        <v>24000</v>
      </c>
      <c r="M25" s="10">
        <f t="shared" si="4"/>
        <v>174000</v>
      </c>
      <c r="N25" s="66">
        <f t="shared" si="10"/>
        <v>6090000</v>
      </c>
      <c r="O25" s="56">
        <v>120000</v>
      </c>
      <c r="P25" s="10">
        <f t="shared" si="13"/>
        <v>19200</v>
      </c>
      <c r="Q25" s="10">
        <f t="shared" si="7"/>
        <v>139200</v>
      </c>
      <c r="R25" s="66">
        <f t="shared" si="8"/>
        <v>4872000</v>
      </c>
      <c r="S25" s="81">
        <f t="shared" si="9"/>
        <v>5481000</v>
      </c>
      <c r="T25" s="510"/>
      <c r="U25" s="519"/>
      <c r="V25" s="510"/>
    </row>
    <row r="26" spans="1:22" s="39" customFormat="1" ht="75" x14ac:dyDescent="0.25">
      <c r="A26" s="442"/>
      <c r="B26" s="445"/>
      <c r="C26" s="445"/>
      <c r="D26" s="9" t="s">
        <v>21</v>
      </c>
      <c r="E26" s="20">
        <v>5</v>
      </c>
      <c r="F26" s="50">
        <v>6</v>
      </c>
      <c r="G26" s="56">
        <v>123771.95018179006</v>
      </c>
      <c r="H26" s="10">
        <f t="shared" si="11"/>
        <v>19803.512029086411</v>
      </c>
      <c r="I26" s="10">
        <f t="shared" si="1"/>
        <v>143575.46221087646</v>
      </c>
      <c r="J26" s="66">
        <f t="shared" si="2"/>
        <v>4307263.8663262939</v>
      </c>
      <c r="K26" s="56">
        <v>80000</v>
      </c>
      <c r="L26" s="10">
        <f t="shared" si="12"/>
        <v>12800</v>
      </c>
      <c r="M26" s="10">
        <f t="shared" si="4"/>
        <v>92800</v>
      </c>
      <c r="N26" s="66">
        <f t="shared" si="10"/>
        <v>2784000</v>
      </c>
      <c r="O26" s="56">
        <v>40000</v>
      </c>
      <c r="P26" s="10">
        <f t="shared" si="13"/>
        <v>6400</v>
      </c>
      <c r="Q26" s="10">
        <f t="shared" si="7"/>
        <v>46400</v>
      </c>
      <c r="R26" s="66">
        <f t="shared" si="8"/>
        <v>1392000</v>
      </c>
      <c r="S26" s="81">
        <f t="shared" si="9"/>
        <v>2088000</v>
      </c>
      <c r="T26" s="510"/>
      <c r="U26" s="519"/>
      <c r="V26" s="510"/>
    </row>
    <row r="27" spans="1:22" s="39" customFormat="1" ht="75" x14ac:dyDescent="0.25">
      <c r="A27" s="442"/>
      <c r="B27" s="445"/>
      <c r="C27" s="445"/>
      <c r="D27" s="95" t="s">
        <v>38</v>
      </c>
      <c r="E27" s="20">
        <v>5</v>
      </c>
      <c r="F27" s="50">
        <v>200</v>
      </c>
      <c r="G27" s="56">
        <v>20112.941904540883</v>
      </c>
      <c r="H27" s="10">
        <f t="shared" si="11"/>
        <v>3218.0707047265414</v>
      </c>
      <c r="I27" s="10">
        <f t="shared" si="1"/>
        <v>23331.012609267425</v>
      </c>
      <c r="J27" s="66">
        <f t="shared" si="2"/>
        <v>23331012.609267425</v>
      </c>
      <c r="K27" s="56">
        <v>22000</v>
      </c>
      <c r="L27" s="10">
        <f t="shared" si="12"/>
        <v>3520</v>
      </c>
      <c r="M27" s="10">
        <f t="shared" si="4"/>
        <v>25520</v>
      </c>
      <c r="N27" s="66">
        <f t="shared" si="10"/>
        <v>25520000</v>
      </c>
      <c r="O27" s="56">
        <v>13500</v>
      </c>
      <c r="P27" s="10">
        <f t="shared" si="13"/>
        <v>2160</v>
      </c>
      <c r="Q27" s="10">
        <f t="shared" si="7"/>
        <v>15660</v>
      </c>
      <c r="R27" s="66">
        <f t="shared" si="8"/>
        <v>15660000</v>
      </c>
      <c r="S27" s="81">
        <f t="shared" si="9"/>
        <v>20590000</v>
      </c>
      <c r="T27" s="510"/>
      <c r="U27" s="519"/>
      <c r="V27" s="510"/>
    </row>
    <row r="28" spans="1:22" s="39" customFormat="1" ht="141.75" customHeight="1" x14ac:dyDescent="0.25">
      <c r="A28" s="442"/>
      <c r="B28" s="445"/>
      <c r="C28" s="445"/>
      <c r="D28" s="7" t="s">
        <v>37</v>
      </c>
      <c r="E28" s="20">
        <v>5</v>
      </c>
      <c r="F28" s="50">
        <v>100</v>
      </c>
      <c r="G28" s="56">
        <v>92828.962636342549</v>
      </c>
      <c r="H28" s="10">
        <f t="shared" si="11"/>
        <v>14852.634021814809</v>
      </c>
      <c r="I28" s="10">
        <f t="shared" si="1"/>
        <v>107681.59665815736</v>
      </c>
      <c r="J28" s="66">
        <f t="shared" si="2"/>
        <v>53840798.329078674</v>
      </c>
      <c r="K28" s="56">
        <v>48000</v>
      </c>
      <c r="L28" s="10">
        <f t="shared" si="12"/>
        <v>7680</v>
      </c>
      <c r="M28" s="10">
        <f t="shared" si="4"/>
        <v>55680</v>
      </c>
      <c r="N28" s="66">
        <f t="shared" si="10"/>
        <v>27840000</v>
      </c>
      <c r="O28" s="56">
        <v>35000</v>
      </c>
      <c r="P28" s="10">
        <f t="shared" si="13"/>
        <v>5600</v>
      </c>
      <c r="Q28" s="10">
        <f t="shared" si="7"/>
        <v>40600</v>
      </c>
      <c r="R28" s="66">
        <f t="shared" si="8"/>
        <v>20300000</v>
      </c>
      <c r="S28" s="81">
        <f t="shared" si="9"/>
        <v>24070000</v>
      </c>
      <c r="T28" s="510"/>
      <c r="U28" s="519"/>
      <c r="V28" s="510"/>
    </row>
    <row r="29" spans="1:22" s="39" customFormat="1" ht="30" x14ac:dyDescent="0.25">
      <c r="A29" s="442"/>
      <c r="B29" s="445"/>
      <c r="C29" s="445"/>
      <c r="D29" s="96" t="s">
        <v>4</v>
      </c>
      <c r="E29" s="40">
        <v>1</v>
      </c>
      <c r="F29" s="50">
        <v>1</v>
      </c>
      <c r="G29" s="56">
        <v>541502.28204533155</v>
      </c>
      <c r="H29" s="10">
        <f t="shared" si="11"/>
        <v>86640.365127253055</v>
      </c>
      <c r="I29" s="10">
        <f t="shared" si="1"/>
        <v>628142.64717258466</v>
      </c>
      <c r="J29" s="66">
        <f t="shared" si="2"/>
        <v>628142.64717258466</v>
      </c>
      <c r="K29" s="56">
        <v>300000</v>
      </c>
      <c r="L29" s="10">
        <f t="shared" si="12"/>
        <v>48000</v>
      </c>
      <c r="M29" s="10">
        <f t="shared" si="4"/>
        <v>348000</v>
      </c>
      <c r="N29" s="66">
        <f t="shared" si="10"/>
        <v>348000</v>
      </c>
      <c r="O29" s="56">
        <v>250000</v>
      </c>
      <c r="P29" s="10">
        <f t="shared" si="13"/>
        <v>40000</v>
      </c>
      <c r="Q29" s="10">
        <f t="shared" si="7"/>
        <v>290000</v>
      </c>
      <c r="R29" s="66">
        <f t="shared" si="8"/>
        <v>290000</v>
      </c>
      <c r="S29" s="81">
        <f t="shared" si="9"/>
        <v>319000</v>
      </c>
      <c r="T29" s="510"/>
      <c r="U29" s="519"/>
      <c r="V29" s="510"/>
    </row>
    <row r="30" spans="1:22" s="39" customFormat="1" x14ac:dyDescent="0.25">
      <c r="A30" s="442"/>
      <c r="B30" s="445"/>
      <c r="C30" s="445"/>
      <c r="D30" s="9" t="s">
        <v>5</v>
      </c>
      <c r="E30" s="20">
        <v>1</v>
      </c>
      <c r="F30" s="50">
        <v>1</v>
      </c>
      <c r="G30" s="56">
        <v>116036.20329542817</v>
      </c>
      <c r="H30" s="10">
        <f t="shared" si="11"/>
        <v>18565.79252726851</v>
      </c>
      <c r="I30" s="10">
        <f t="shared" si="1"/>
        <v>134601.99582269668</v>
      </c>
      <c r="J30" s="66">
        <f t="shared" si="2"/>
        <v>134601.99582269668</v>
      </c>
      <c r="K30" s="56">
        <v>80000</v>
      </c>
      <c r="L30" s="10">
        <f t="shared" si="12"/>
        <v>12800</v>
      </c>
      <c r="M30" s="10">
        <f t="shared" si="4"/>
        <v>92800</v>
      </c>
      <c r="N30" s="66">
        <f t="shared" si="10"/>
        <v>92800</v>
      </c>
      <c r="O30" s="56">
        <v>70000</v>
      </c>
      <c r="P30" s="10">
        <f t="shared" si="13"/>
        <v>11200</v>
      </c>
      <c r="Q30" s="10">
        <f t="shared" si="7"/>
        <v>81200</v>
      </c>
      <c r="R30" s="66">
        <f t="shared" si="8"/>
        <v>81200</v>
      </c>
      <c r="S30" s="81">
        <f t="shared" si="9"/>
        <v>87000</v>
      </c>
      <c r="T30" s="510"/>
      <c r="U30" s="519"/>
      <c r="V30" s="510"/>
    </row>
    <row r="31" spans="1:22" s="39" customFormat="1" ht="90" x14ac:dyDescent="0.25">
      <c r="A31" s="442"/>
      <c r="B31" s="445"/>
      <c r="C31" s="445"/>
      <c r="D31" s="9" t="s">
        <v>6</v>
      </c>
      <c r="E31" s="20">
        <v>1</v>
      </c>
      <c r="F31" s="50">
        <v>100</v>
      </c>
      <c r="G31" s="56">
        <v>11603.620329542819</v>
      </c>
      <c r="H31" s="10">
        <f t="shared" si="11"/>
        <v>1856.5792527268511</v>
      </c>
      <c r="I31" s="10">
        <f t="shared" si="1"/>
        <v>13460.19958226967</v>
      </c>
      <c r="J31" s="66">
        <f t="shared" si="2"/>
        <v>1346019.9582269669</v>
      </c>
      <c r="K31" s="56">
        <v>4800</v>
      </c>
      <c r="L31" s="10">
        <f t="shared" si="12"/>
        <v>768</v>
      </c>
      <c r="M31" s="10">
        <f t="shared" si="4"/>
        <v>5568</v>
      </c>
      <c r="N31" s="66">
        <f t="shared" si="10"/>
        <v>556800</v>
      </c>
      <c r="O31" s="56">
        <v>4500</v>
      </c>
      <c r="P31" s="10">
        <f t="shared" si="13"/>
        <v>720</v>
      </c>
      <c r="Q31" s="10">
        <f t="shared" si="7"/>
        <v>5220</v>
      </c>
      <c r="R31" s="66">
        <f t="shared" si="8"/>
        <v>522000</v>
      </c>
      <c r="S31" s="81">
        <f t="shared" si="9"/>
        <v>539400</v>
      </c>
      <c r="T31" s="510"/>
      <c r="U31" s="519"/>
      <c r="V31" s="510"/>
    </row>
    <row r="32" spans="1:22" s="39" customFormat="1" ht="90.75" thickBot="1" x14ac:dyDescent="0.3">
      <c r="A32" s="443"/>
      <c r="B32" s="446"/>
      <c r="C32" s="446"/>
      <c r="D32" s="16" t="s">
        <v>14</v>
      </c>
      <c r="E32" s="21">
        <v>1</v>
      </c>
      <c r="F32" s="51">
        <v>1</v>
      </c>
      <c r="G32" s="57">
        <v>4641448.1318171266</v>
      </c>
      <c r="H32" s="11">
        <f t="shared" si="11"/>
        <v>742631.70109074027</v>
      </c>
      <c r="I32" s="11">
        <f t="shared" si="1"/>
        <v>5384079.8329078667</v>
      </c>
      <c r="J32" s="67">
        <f t="shared" si="2"/>
        <v>5384079.8329078667</v>
      </c>
      <c r="K32" s="57">
        <v>297400</v>
      </c>
      <c r="L32" s="11">
        <f t="shared" si="12"/>
        <v>47584</v>
      </c>
      <c r="M32" s="11">
        <f t="shared" si="4"/>
        <v>344984</v>
      </c>
      <c r="N32" s="67">
        <f t="shared" si="10"/>
        <v>344984</v>
      </c>
      <c r="O32" s="69">
        <v>850000</v>
      </c>
      <c r="P32" s="17">
        <f t="shared" si="13"/>
        <v>136000</v>
      </c>
      <c r="Q32" s="17">
        <f t="shared" si="7"/>
        <v>986000</v>
      </c>
      <c r="R32" s="77">
        <f t="shared" si="8"/>
        <v>986000</v>
      </c>
      <c r="S32" s="82">
        <f t="shared" si="9"/>
        <v>665492</v>
      </c>
      <c r="T32" s="511"/>
      <c r="U32" s="520"/>
      <c r="V32" s="511"/>
    </row>
    <row r="33" spans="1:22" ht="63.75" customHeight="1" x14ac:dyDescent="0.25">
      <c r="A33" s="490">
        <v>3</v>
      </c>
      <c r="B33" s="447" t="s">
        <v>25</v>
      </c>
      <c r="C33" s="447" t="s">
        <v>23</v>
      </c>
      <c r="D33" s="106" t="s">
        <v>15</v>
      </c>
      <c r="E33" s="25">
        <v>1</v>
      </c>
      <c r="F33" s="46">
        <v>1</v>
      </c>
      <c r="G33" s="52">
        <v>1441943.2196178541</v>
      </c>
      <c r="H33" s="42">
        <f>+G33*16%</f>
        <v>230710.91513885665</v>
      </c>
      <c r="I33" s="42">
        <f t="shared" si="1"/>
        <v>1672654.1347567108</v>
      </c>
      <c r="J33" s="59">
        <f t="shared" si="2"/>
        <v>1672654.1347567108</v>
      </c>
      <c r="K33" s="52">
        <v>550000</v>
      </c>
      <c r="L33" s="26">
        <f>+K33*16%</f>
        <v>88000</v>
      </c>
      <c r="M33" s="26">
        <f t="shared" si="4"/>
        <v>638000</v>
      </c>
      <c r="N33" s="63">
        <f>+M33*F33*E33</f>
        <v>638000</v>
      </c>
      <c r="O33" s="52">
        <v>350000</v>
      </c>
      <c r="P33" s="26">
        <f>+O33*16%</f>
        <v>56000</v>
      </c>
      <c r="Q33" s="26">
        <f t="shared" si="7"/>
        <v>406000</v>
      </c>
      <c r="R33" s="63">
        <f t="shared" si="8"/>
        <v>406000</v>
      </c>
      <c r="S33" s="84">
        <f t="shared" si="9"/>
        <v>522000</v>
      </c>
      <c r="T33" s="493">
        <f>SUM(S33:S37)</f>
        <v>3913840</v>
      </c>
      <c r="U33" s="496">
        <v>1</v>
      </c>
      <c r="V33" s="493">
        <f>+U33*T33</f>
        <v>3913840</v>
      </c>
    </row>
    <row r="34" spans="1:22" ht="63.75" customHeight="1" x14ac:dyDescent="0.25">
      <c r="A34" s="491"/>
      <c r="B34" s="448"/>
      <c r="C34" s="448"/>
      <c r="D34" s="32" t="s">
        <v>10</v>
      </c>
      <c r="E34" s="28">
        <v>1</v>
      </c>
      <c r="F34" s="107">
        <v>1</v>
      </c>
      <c r="G34" s="108">
        <v>232072.40659085635</v>
      </c>
      <c r="H34" s="30">
        <f t="shared" ref="H34:H37" si="14">+G34*16%</f>
        <v>37131.585054537019</v>
      </c>
      <c r="I34" s="30">
        <f t="shared" si="1"/>
        <v>269203.99164539337</v>
      </c>
      <c r="J34" s="60">
        <f t="shared" si="2"/>
        <v>269203.99164539337</v>
      </c>
      <c r="K34" s="53">
        <v>150000</v>
      </c>
      <c r="L34" s="30">
        <f t="shared" ref="L34:L37" si="15">+K34*16%</f>
        <v>24000</v>
      </c>
      <c r="M34" s="30">
        <f t="shared" si="4"/>
        <v>174000</v>
      </c>
      <c r="N34" s="60">
        <f t="shared" ref="N34:N37" si="16">+M34*F34*E34</f>
        <v>174000</v>
      </c>
      <c r="O34" s="53">
        <v>120000</v>
      </c>
      <c r="P34" s="30">
        <f t="shared" ref="P34:P37" si="17">+O34*16%</f>
        <v>19200</v>
      </c>
      <c r="Q34" s="30">
        <f t="shared" si="7"/>
        <v>139200</v>
      </c>
      <c r="R34" s="60">
        <f t="shared" si="8"/>
        <v>139200</v>
      </c>
      <c r="S34" s="85">
        <f t="shared" si="9"/>
        <v>156600</v>
      </c>
      <c r="T34" s="494"/>
      <c r="U34" s="497"/>
      <c r="V34" s="494"/>
    </row>
    <row r="35" spans="1:22" ht="98.25" customHeight="1" x14ac:dyDescent="0.25">
      <c r="A35" s="491"/>
      <c r="B35" s="449"/>
      <c r="C35" s="449"/>
      <c r="D35" s="32" t="s">
        <v>9</v>
      </c>
      <c r="E35" s="28">
        <v>1</v>
      </c>
      <c r="F35" s="47">
        <v>40</v>
      </c>
      <c r="G35" s="53">
        <v>23207.240659085637</v>
      </c>
      <c r="H35" s="30">
        <f t="shared" si="14"/>
        <v>3713.1585054537022</v>
      </c>
      <c r="I35" s="30">
        <f t="shared" si="1"/>
        <v>26920.39916453934</v>
      </c>
      <c r="J35" s="60">
        <f t="shared" si="2"/>
        <v>1076815.9665815737</v>
      </c>
      <c r="K35" s="53">
        <v>22000</v>
      </c>
      <c r="L35" s="30">
        <f t="shared" si="15"/>
        <v>3520</v>
      </c>
      <c r="M35" s="30">
        <f t="shared" si="4"/>
        <v>25520</v>
      </c>
      <c r="N35" s="60">
        <f t="shared" si="16"/>
        <v>1020800</v>
      </c>
      <c r="O35" s="53">
        <v>8200</v>
      </c>
      <c r="P35" s="30">
        <f t="shared" si="17"/>
        <v>1312</v>
      </c>
      <c r="Q35" s="30">
        <f t="shared" si="7"/>
        <v>9512</v>
      </c>
      <c r="R35" s="60">
        <f t="shared" si="8"/>
        <v>380480</v>
      </c>
      <c r="S35" s="85">
        <f t="shared" si="9"/>
        <v>700640</v>
      </c>
      <c r="T35" s="494"/>
      <c r="U35" s="497"/>
      <c r="V35" s="494"/>
    </row>
    <row r="36" spans="1:22" ht="135" x14ac:dyDescent="0.25">
      <c r="A36" s="491"/>
      <c r="B36" s="449"/>
      <c r="C36" s="449"/>
      <c r="D36" s="27" t="s">
        <v>7</v>
      </c>
      <c r="E36" s="28">
        <v>1</v>
      </c>
      <c r="F36" s="47">
        <v>40</v>
      </c>
      <c r="G36" s="53">
        <v>77357.468863618778</v>
      </c>
      <c r="H36" s="30">
        <f t="shared" si="14"/>
        <v>12377.195018179005</v>
      </c>
      <c r="I36" s="30">
        <f t="shared" si="1"/>
        <v>89734.66388179778</v>
      </c>
      <c r="J36" s="60">
        <f t="shared" si="2"/>
        <v>3589386.5552719114</v>
      </c>
      <c r="K36" s="53">
        <v>48000</v>
      </c>
      <c r="L36" s="30">
        <f t="shared" si="15"/>
        <v>7680</v>
      </c>
      <c r="M36" s="30">
        <f t="shared" si="4"/>
        <v>55680</v>
      </c>
      <c r="N36" s="60">
        <f t="shared" si="16"/>
        <v>2227200</v>
      </c>
      <c r="O36" s="53">
        <v>32000</v>
      </c>
      <c r="P36" s="30">
        <f t="shared" si="17"/>
        <v>5120</v>
      </c>
      <c r="Q36" s="30">
        <f t="shared" si="7"/>
        <v>37120</v>
      </c>
      <c r="R36" s="60">
        <f t="shared" si="8"/>
        <v>1484800</v>
      </c>
      <c r="S36" s="85">
        <f t="shared" si="9"/>
        <v>1856000</v>
      </c>
      <c r="T36" s="494"/>
      <c r="U36" s="497"/>
      <c r="V36" s="494"/>
    </row>
    <row r="37" spans="1:22" ht="75.75" thickBot="1" x14ac:dyDescent="0.3">
      <c r="A37" s="492"/>
      <c r="B37" s="450"/>
      <c r="C37" s="450"/>
      <c r="D37" s="35" t="s">
        <v>16</v>
      </c>
      <c r="E37" s="36">
        <v>1</v>
      </c>
      <c r="F37" s="48">
        <v>1</v>
      </c>
      <c r="G37" s="54">
        <v>1547149.3772723756</v>
      </c>
      <c r="H37" s="44">
        <f t="shared" si="14"/>
        <v>247543.90036358009</v>
      </c>
      <c r="I37" s="44">
        <f t="shared" si="1"/>
        <v>1794693.2776359557</v>
      </c>
      <c r="J37" s="61">
        <f t="shared" si="2"/>
        <v>1794693.2776359557</v>
      </c>
      <c r="K37" s="54">
        <v>320000</v>
      </c>
      <c r="L37" s="38">
        <f t="shared" si="15"/>
        <v>51200</v>
      </c>
      <c r="M37" s="38">
        <f t="shared" si="4"/>
        <v>371200</v>
      </c>
      <c r="N37" s="64">
        <f t="shared" si="16"/>
        <v>371200</v>
      </c>
      <c r="O37" s="54">
        <v>850000</v>
      </c>
      <c r="P37" s="38">
        <f t="shared" si="17"/>
        <v>136000</v>
      </c>
      <c r="Q37" s="38">
        <f t="shared" si="7"/>
        <v>986000</v>
      </c>
      <c r="R37" s="64">
        <f t="shared" si="8"/>
        <v>986000</v>
      </c>
      <c r="S37" s="86">
        <f t="shared" si="9"/>
        <v>678600</v>
      </c>
      <c r="T37" s="495"/>
      <c r="U37" s="498"/>
      <c r="V37" s="495"/>
    </row>
    <row r="38" spans="1:22" ht="45" customHeight="1" x14ac:dyDescent="0.25">
      <c r="A38" s="441">
        <v>4</v>
      </c>
      <c r="B38" s="444"/>
      <c r="C38" s="444" t="s">
        <v>35</v>
      </c>
      <c r="D38" s="109" t="s">
        <v>46</v>
      </c>
      <c r="E38" s="110">
        <v>0.5</v>
      </c>
      <c r="F38" s="111">
        <v>1</v>
      </c>
      <c r="G38" s="97">
        <v>2320724.0659085633</v>
      </c>
      <c r="H38" s="112">
        <f>+G38*16%</f>
        <v>371315.85054537014</v>
      </c>
      <c r="I38" s="112">
        <f t="shared" si="1"/>
        <v>2692039.9164539333</v>
      </c>
      <c r="J38" s="113">
        <f t="shared" si="2"/>
        <v>1346019.9582269667</v>
      </c>
      <c r="K38" s="97">
        <v>550000</v>
      </c>
      <c r="L38" s="112">
        <f>+K38*16%</f>
        <v>88000</v>
      </c>
      <c r="M38" s="112">
        <f t="shared" si="4"/>
        <v>638000</v>
      </c>
      <c r="N38" s="114">
        <f>+M38*E38*F38</f>
        <v>319000</v>
      </c>
      <c r="O38" s="97">
        <f>4500000*2</f>
        <v>9000000</v>
      </c>
      <c r="P38" s="112">
        <f>+O38*16%</f>
        <v>1440000</v>
      </c>
      <c r="Q38" s="112">
        <f t="shared" si="7"/>
        <v>10440000</v>
      </c>
      <c r="R38" s="114">
        <f t="shared" si="8"/>
        <v>5220000</v>
      </c>
      <c r="S38" s="115">
        <f t="shared" si="9"/>
        <v>2769500</v>
      </c>
      <c r="T38" s="521">
        <f>SUM(S38:S44)</f>
        <v>4779200</v>
      </c>
      <c r="U38" s="519">
        <v>1</v>
      </c>
      <c r="V38" s="521">
        <f>+U38*T38</f>
        <v>4779200</v>
      </c>
    </row>
    <row r="39" spans="1:22" ht="45" x14ac:dyDescent="0.25">
      <c r="A39" s="442"/>
      <c r="B39" s="445"/>
      <c r="C39" s="445"/>
      <c r="D39" s="3" t="s">
        <v>47</v>
      </c>
      <c r="E39" s="40">
        <v>0.5</v>
      </c>
      <c r="F39" s="50">
        <v>1</v>
      </c>
      <c r="G39" s="56">
        <v>448673.31940898893</v>
      </c>
      <c r="H39" s="10">
        <f>+G39*16%</f>
        <v>71787.73110543823</v>
      </c>
      <c r="I39" s="10">
        <f t="shared" si="1"/>
        <v>520461.05051442713</v>
      </c>
      <c r="J39" s="116">
        <f t="shared" si="2"/>
        <v>260230.52525721357</v>
      </c>
      <c r="K39" s="117">
        <v>230000</v>
      </c>
      <c r="L39" s="10">
        <f>+K39*16%</f>
        <v>36800</v>
      </c>
      <c r="M39" s="10">
        <f t="shared" si="4"/>
        <v>266800</v>
      </c>
      <c r="N39" s="114">
        <f t="shared" ref="N39:N44" si="18">+M39*E39*F39</f>
        <v>133400</v>
      </c>
      <c r="O39" s="56">
        <f>220000*2</f>
        <v>440000</v>
      </c>
      <c r="P39" s="10">
        <f>+O39*16%</f>
        <v>70400</v>
      </c>
      <c r="Q39" s="10">
        <f t="shared" si="7"/>
        <v>510400</v>
      </c>
      <c r="R39" s="66">
        <f t="shared" si="8"/>
        <v>255200</v>
      </c>
      <c r="S39" s="81">
        <f t="shared" si="9"/>
        <v>194300</v>
      </c>
      <c r="T39" s="510"/>
      <c r="U39" s="519"/>
      <c r="V39" s="510"/>
    </row>
    <row r="40" spans="1:22" ht="60" x14ac:dyDescent="0.25">
      <c r="A40" s="442"/>
      <c r="B40" s="445"/>
      <c r="C40" s="445"/>
      <c r="D40" s="3" t="s">
        <v>48</v>
      </c>
      <c r="E40" s="40">
        <v>0.5</v>
      </c>
      <c r="F40" s="50">
        <v>1</v>
      </c>
      <c r="G40" s="56">
        <v>232072.40659085635</v>
      </c>
      <c r="H40" s="10">
        <f t="shared" ref="H40:H44" si="19">+G40*16%</f>
        <v>37131.585054537019</v>
      </c>
      <c r="I40" s="10">
        <f t="shared" si="1"/>
        <v>269203.99164539337</v>
      </c>
      <c r="J40" s="116">
        <f t="shared" si="2"/>
        <v>134601.99582269668</v>
      </c>
      <c r="K40" s="117">
        <v>150000</v>
      </c>
      <c r="L40" s="10">
        <f t="shared" ref="L40:L44" si="20">+K40*16%</f>
        <v>24000</v>
      </c>
      <c r="M40" s="10">
        <f t="shared" si="4"/>
        <v>174000</v>
      </c>
      <c r="N40" s="114">
        <f t="shared" si="18"/>
        <v>87000</v>
      </c>
      <c r="O40" s="56">
        <f>120000*2</f>
        <v>240000</v>
      </c>
      <c r="P40" s="10">
        <f t="shared" ref="P40:P44" si="21">+O40*16%</f>
        <v>38400</v>
      </c>
      <c r="Q40" s="10">
        <f t="shared" si="7"/>
        <v>278400</v>
      </c>
      <c r="R40" s="66">
        <f t="shared" si="8"/>
        <v>139200</v>
      </c>
      <c r="S40" s="81">
        <f t="shared" si="9"/>
        <v>113100</v>
      </c>
      <c r="T40" s="510"/>
      <c r="U40" s="519"/>
      <c r="V40" s="510"/>
    </row>
    <row r="41" spans="1:22" ht="30" x14ac:dyDescent="0.25">
      <c r="A41" s="442"/>
      <c r="B41" s="445"/>
      <c r="C41" s="445"/>
      <c r="D41" s="3" t="s">
        <v>49</v>
      </c>
      <c r="E41" s="40">
        <v>0.5</v>
      </c>
      <c r="F41" s="50">
        <v>1</v>
      </c>
      <c r="G41" s="56">
        <v>541502.28204533155</v>
      </c>
      <c r="H41" s="10">
        <f t="shared" si="19"/>
        <v>86640.365127253055</v>
      </c>
      <c r="I41" s="10">
        <f t="shared" si="1"/>
        <v>628142.64717258466</v>
      </c>
      <c r="J41" s="116">
        <f t="shared" si="2"/>
        <v>314071.32358629233</v>
      </c>
      <c r="K41" s="117">
        <v>300000</v>
      </c>
      <c r="L41" s="10">
        <f t="shared" si="20"/>
        <v>48000</v>
      </c>
      <c r="M41" s="10">
        <f t="shared" si="4"/>
        <v>348000</v>
      </c>
      <c r="N41" s="114">
        <f t="shared" si="18"/>
        <v>174000</v>
      </c>
      <c r="O41" s="56">
        <f>350000*2</f>
        <v>700000</v>
      </c>
      <c r="P41" s="10">
        <f t="shared" si="21"/>
        <v>112000</v>
      </c>
      <c r="Q41" s="10">
        <f t="shared" si="7"/>
        <v>812000</v>
      </c>
      <c r="R41" s="66">
        <f t="shared" si="8"/>
        <v>406000</v>
      </c>
      <c r="S41" s="81">
        <f t="shared" si="9"/>
        <v>290000</v>
      </c>
      <c r="T41" s="510"/>
      <c r="U41" s="519"/>
      <c r="V41" s="510"/>
    </row>
    <row r="42" spans="1:22" ht="15" customHeight="1" x14ac:dyDescent="0.25">
      <c r="A42" s="442"/>
      <c r="B42" s="445"/>
      <c r="C42" s="445"/>
      <c r="D42" s="9" t="s">
        <v>50</v>
      </c>
      <c r="E42" s="20">
        <v>0.5</v>
      </c>
      <c r="F42" s="50">
        <v>1</v>
      </c>
      <c r="G42" s="56">
        <v>116036.20329542817</v>
      </c>
      <c r="H42" s="10">
        <f t="shared" si="19"/>
        <v>18565.79252726851</v>
      </c>
      <c r="I42" s="10">
        <f t="shared" si="1"/>
        <v>134601.99582269668</v>
      </c>
      <c r="J42" s="116">
        <f t="shared" si="2"/>
        <v>67300.997911348342</v>
      </c>
      <c r="K42" s="117">
        <v>80000</v>
      </c>
      <c r="L42" s="10">
        <f t="shared" si="20"/>
        <v>12800</v>
      </c>
      <c r="M42" s="10">
        <f t="shared" si="4"/>
        <v>92800</v>
      </c>
      <c r="N42" s="114">
        <f t="shared" si="18"/>
        <v>46400</v>
      </c>
      <c r="O42" s="56">
        <f>70000*2</f>
        <v>140000</v>
      </c>
      <c r="P42" s="10">
        <f t="shared" si="21"/>
        <v>22400</v>
      </c>
      <c r="Q42" s="10">
        <f t="shared" si="7"/>
        <v>162400</v>
      </c>
      <c r="R42" s="66">
        <f t="shared" si="8"/>
        <v>81200</v>
      </c>
      <c r="S42" s="81">
        <f t="shared" si="9"/>
        <v>63800</v>
      </c>
      <c r="T42" s="510"/>
      <c r="U42" s="519"/>
      <c r="V42" s="510"/>
    </row>
    <row r="43" spans="1:22" ht="75" x14ac:dyDescent="0.25">
      <c r="A43" s="442"/>
      <c r="B43" s="445"/>
      <c r="C43" s="445"/>
      <c r="D43" s="9" t="s">
        <v>51</v>
      </c>
      <c r="E43" s="20">
        <v>0.5</v>
      </c>
      <c r="F43" s="50">
        <v>200</v>
      </c>
      <c r="G43" s="56">
        <v>10675.330703179392</v>
      </c>
      <c r="H43" s="10">
        <f t="shared" si="19"/>
        <v>1708.0529125087028</v>
      </c>
      <c r="I43" s="10">
        <f t="shared" si="1"/>
        <v>12383.383615688095</v>
      </c>
      <c r="J43" s="116">
        <f t="shared" si="2"/>
        <v>1238338.3615688095</v>
      </c>
      <c r="K43" s="117">
        <v>4300</v>
      </c>
      <c r="L43" s="10">
        <f t="shared" si="20"/>
        <v>688</v>
      </c>
      <c r="M43" s="10">
        <f t="shared" si="4"/>
        <v>4988</v>
      </c>
      <c r="N43" s="114">
        <f t="shared" si="18"/>
        <v>498800</v>
      </c>
      <c r="O43" s="56">
        <f>4500*2</f>
        <v>9000</v>
      </c>
      <c r="P43" s="10">
        <f t="shared" si="21"/>
        <v>1440</v>
      </c>
      <c r="Q43" s="10">
        <f t="shared" si="7"/>
        <v>10440</v>
      </c>
      <c r="R43" s="66">
        <f t="shared" si="8"/>
        <v>1044000</v>
      </c>
      <c r="S43" s="81">
        <f t="shared" si="9"/>
        <v>771400</v>
      </c>
      <c r="T43" s="510"/>
      <c r="U43" s="519"/>
      <c r="V43" s="510"/>
    </row>
    <row r="44" spans="1:22" ht="75.75" thickBot="1" x14ac:dyDescent="0.3">
      <c r="A44" s="443"/>
      <c r="B44" s="446"/>
      <c r="C44" s="446"/>
      <c r="D44" s="16" t="s">
        <v>52</v>
      </c>
      <c r="E44" s="21">
        <v>0.5</v>
      </c>
      <c r="F44" s="51">
        <v>1</v>
      </c>
      <c r="G44" s="57">
        <v>1547149.3772723756</v>
      </c>
      <c r="H44" s="11">
        <f t="shared" si="19"/>
        <v>247543.90036358009</v>
      </c>
      <c r="I44" s="11">
        <f t="shared" si="1"/>
        <v>1794693.2776359557</v>
      </c>
      <c r="J44" s="118">
        <f t="shared" si="2"/>
        <v>897346.63881797786</v>
      </c>
      <c r="K44" s="119">
        <v>290000</v>
      </c>
      <c r="L44" s="17">
        <f t="shared" si="20"/>
        <v>46400</v>
      </c>
      <c r="M44" s="17">
        <f t="shared" si="4"/>
        <v>336400</v>
      </c>
      <c r="N44" s="105">
        <f t="shared" si="18"/>
        <v>168200</v>
      </c>
      <c r="O44" s="69">
        <f>850000*2</f>
        <v>1700000</v>
      </c>
      <c r="P44" s="17">
        <f t="shared" si="21"/>
        <v>272000</v>
      </c>
      <c r="Q44" s="17">
        <f t="shared" si="7"/>
        <v>1972000</v>
      </c>
      <c r="R44" s="77">
        <f t="shared" si="8"/>
        <v>986000</v>
      </c>
      <c r="S44" s="82">
        <f t="shared" si="9"/>
        <v>577100</v>
      </c>
      <c r="T44" s="510"/>
      <c r="U44" s="519"/>
      <c r="V44" s="510"/>
    </row>
    <row r="45" spans="1:22" ht="45" x14ac:dyDescent="0.25">
      <c r="A45" s="467">
        <v>5</v>
      </c>
      <c r="B45" s="470" t="s">
        <v>26</v>
      </c>
      <c r="C45" s="473" t="s">
        <v>35</v>
      </c>
      <c r="D45" s="98" t="s">
        <v>27</v>
      </c>
      <c r="E45" s="25">
        <v>1</v>
      </c>
      <c r="F45" s="46">
        <v>100</v>
      </c>
      <c r="G45" s="52">
        <v>12377.195018179005</v>
      </c>
      <c r="H45" s="26">
        <f>+G45*16%</f>
        <v>1980.351202908641</v>
      </c>
      <c r="I45" s="26">
        <f t="shared" si="1"/>
        <v>14357.546221087647</v>
      </c>
      <c r="J45" s="63">
        <f t="shared" si="2"/>
        <v>1435754.6221087647</v>
      </c>
      <c r="K45" s="52">
        <v>5000</v>
      </c>
      <c r="L45" s="26">
        <f>+K45*16%</f>
        <v>800</v>
      </c>
      <c r="M45" s="26">
        <f t="shared" si="4"/>
        <v>5800</v>
      </c>
      <c r="N45" s="63">
        <f>+M45*F45*E45</f>
        <v>580000</v>
      </c>
      <c r="O45" s="52">
        <v>4200</v>
      </c>
      <c r="P45" s="26">
        <f>+O45*16%</f>
        <v>672</v>
      </c>
      <c r="Q45" s="26">
        <f t="shared" si="7"/>
        <v>4872</v>
      </c>
      <c r="R45" s="63">
        <f t="shared" si="8"/>
        <v>487200</v>
      </c>
      <c r="S45" s="84">
        <f t="shared" si="9"/>
        <v>533600</v>
      </c>
      <c r="T45" s="493">
        <f>SUM(S45:S52)</f>
        <v>5789560</v>
      </c>
      <c r="U45" s="496">
        <v>1</v>
      </c>
      <c r="V45" s="493">
        <f>+U45*T45</f>
        <v>5789560</v>
      </c>
    </row>
    <row r="46" spans="1:22" ht="18" customHeight="1" x14ac:dyDescent="0.25">
      <c r="A46" s="468"/>
      <c r="B46" s="471"/>
      <c r="C46" s="474"/>
      <c r="D46" s="99" t="s">
        <v>28</v>
      </c>
      <c r="E46" s="29">
        <v>1</v>
      </c>
      <c r="F46" s="47">
        <v>1</v>
      </c>
      <c r="G46" s="53">
        <v>340372.86299992265</v>
      </c>
      <c r="H46" s="37">
        <f t="shared" ref="H46:H52" si="22">+G46*16%</f>
        <v>54459.658079987625</v>
      </c>
      <c r="I46" s="37">
        <f t="shared" si="1"/>
        <v>394832.52107991028</v>
      </c>
      <c r="J46" s="76">
        <f t="shared" si="2"/>
        <v>394832.52107991028</v>
      </c>
      <c r="K46" s="53">
        <v>300000</v>
      </c>
      <c r="L46" s="30">
        <f t="shared" ref="L46:L52" si="23">+K46*16%</f>
        <v>48000</v>
      </c>
      <c r="M46" s="30">
        <f t="shared" si="4"/>
        <v>348000</v>
      </c>
      <c r="N46" s="60">
        <f t="shared" ref="N46:N52" si="24">+M46*F46*E46</f>
        <v>348000</v>
      </c>
      <c r="O46" s="53">
        <v>420000</v>
      </c>
      <c r="P46" s="30">
        <f t="shared" ref="P46:P52" si="25">+O46*16%</f>
        <v>67200</v>
      </c>
      <c r="Q46" s="30">
        <f t="shared" si="7"/>
        <v>487200</v>
      </c>
      <c r="R46" s="60">
        <f t="shared" si="8"/>
        <v>487200</v>
      </c>
      <c r="S46" s="85">
        <f t="shared" si="9"/>
        <v>417600</v>
      </c>
      <c r="T46" s="494"/>
      <c r="U46" s="497"/>
      <c r="V46" s="494"/>
    </row>
    <row r="47" spans="1:22" x14ac:dyDescent="0.25">
      <c r="A47" s="468"/>
      <c r="B47" s="471"/>
      <c r="C47" s="474"/>
      <c r="D47" s="100" t="s">
        <v>29</v>
      </c>
      <c r="E47" s="101">
        <v>1</v>
      </c>
      <c r="F47" s="47">
        <v>1</v>
      </c>
      <c r="G47" s="53">
        <v>116036.20329542817</v>
      </c>
      <c r="H47" s="37">
        <f t="shared" si="22"/>
        <v>18565.79252726851</v>
      </c>
      <c r="I47" s="37">
        <f t="shared" si="1"/>
        <v>134601.99582269668</v>
      </c>
      <c r="J47" s="76">
        <f t="shared" si="2"/>
        <v>134601.99582269668</v>
      </c>
      <c r="K47" s="53">
        <v>80000</v>
      </c>
      <c r="L47" s="30">
        <f t="shared" si="23"/>
        <v>12800</v>
      </c>
      <c r="M47" s="30">
        <f t="shared" si="4"/>
        <v>92800</v>
      </c>
      <c r="N47" s="60">
        <f t="shared" si="24"/>
        <v>92800</v>
      </c>
      <c r="O47" s="53">
        <v>120000</v>
      </c>
      <c r="P47" s="30">
        <f t="shared" si="25"/>
        <v>19200</v>
      </c>
      <c r="Q47" s="30">
        <f t="shared" si="7"/>
        <v>139200</v>
      </c>
      <c r="R47" s="60">
        <f t="shared" si="8"/>
        <v>139200</v>
      </c>
      <c r="S47" s="85">
        <f t="shared" si="9"/>
        <v>116000</v>
      </c>
      <c r="T47" s="494"/>
      <c r="U47" s="497"/>
      <c r="V47" s="494"/>
    </row>
    <row r="48" spans="1:22" x14ac:dyDescent="0.25">
      <c r="A48" s="468"/>
      <c r="B48" s="471"/>
      <c r="C48" s="474"/>
      <c r="D48" s="100" t="s">
        <v>30</v>
      </c>
      <c r="E48" s="101">
        <v>1</v>
      </c>
      <c r="F48" s="47">
        <v>1</v>
      </c>
      <c r="G48" s="53">
        <v>116036.20329542817</v>
      </c>
      <c r="H48" s="37">
        <f t="shared" si="22"/>
        <v>18565.79252726851</v>
      </c>
      <c r="I48" s="37">
        <f t="shared" si="1"/>
        <v>134601.99582269668</v>
      </c>
      <c r="J48" s="76">
        <f t="shared" si="2"/>
        <v>134601.99582269668</v>
      </c>
      <c r="K48" s="53">
        <v>80000</v>
      </c>
      <c r="L48" s="30">
        <f t="shared" si="23"/>
        <v>12800</v>
      </c>
      <c r="M48" s="30">
        <f t="shared" si="4"/>
        <v>92800</v>
      </c>
      <c r="N48" s="60">
        <f t="shared" si="24"/>
        <v>92800</v>
      </c>
      <c r="O48" s="53">
        <v>70000</v>
      </c>
      <c r="P48" s="30">
        <f t="shared" si="25"/>
        <v>11200</v>
      </c>
      <c r="Q48" s="30">
        <f t="shared" si="7"/>
        <v>81200</v>
      </c>
      <c r="R48" s="60">
        <f t="shared" si="8"/>
        <v>81200</v>
      </c>
      <c r="S48" s="85">
        <f t="shared" si="9"/>
        <v>87000</v>
      </c>
      <c r="T48" s="494"/>
      <c r="U48" s="497"/>
      <c r="V48" s="494"/>
    </row>
    <row r="49" spans="1:22" ht="90" x14ac:dyDescent="0.25">
      <c r="A49" s="468"/>
      <c r="B49" s="471"/>
      <c r="C49" s="474"/>
      <c r="D49" s="27" t="s">
        <v>31</v>
      </c>
      <c r="E49" s="29">
        <v>1</v>
      </c>
      <c r="F49" s="47">
        <v>150</v>
      </c>
      <c r="G49" s="53">
        <v>3094.2987545447513</v>
      </c>
      <c r="H49" s="37">
        <f t="shared" si="22"/>
        <v>495.08780072716024</v>
      </c>
      <c r="I49" s="37">
        <f t="shared" si="1"/>
        <v>3589.3865552719117</v>
      </c>
      <c r="J49" s="76">
        <f t="shared" si="2"/>
        <v>538407.98329078674</v>
      </c>
      <c r="K49" s="53">
        <v>25000</v>
      </c>
      <c r="L49" s="30">
        <f t="shared" si="23"/>
        <v>4000</v>
      </c>
      <c r="M49" s="30">
        <f t="shared" si="4"/>
        <v>29000</v>
      </c>
      <c r="N49" s="60">
        <f t="shared" si="24"/>
        <v>4350000</v>
      </c>
      <c r="O49" s="53">
        <v>2800</v>
      </c>
      <c r="P49" s="30">
        <f t="shared" si="25"/>
        <v>448</v>
      </c>
      <c r="Q49" s="30">
        <f t="shared" si="7"/>
        <v>3248</v>
      </c>
      <c r="R49" s="60">
        <f t="shared" si="8"/>
        <v>487200</v>
      </c>
      <c r="S49" s="85">
        <f t="shared" si="9"/>
        <v>2418600</v>
      </c>
      <c r="T49" s="494"/>
      <c r="U49" s="497"/>
      <c r="V49" s="494"/>
    </row>
    <row r="50" spans="1:22" ht="90" x14ac:dyDescent="0.25">
      <c r="A50" s="468"/>
      <c r="B50" s="471"/>
      <c r="C50" s="474"/>
      <c r="D50" s="27" t="s">
        <v>32</v>
      </c>
      <c r="E50" s="29">
        <v>1</v>
      </c>
      <c r="F50" s="47">
        <v>1</v>
      </c>
      <c r="G50" s="53">
        <v>5105592.9449988399</v>
      </c>
      <c r="H50" s="37">
        <f t="shared" si="22"/>
        <v>816894.87119981437</v>
      </c>
      <c r="I50" s="37">
        <f t="shared" si="1"/>
        <v>5922487.8161986545</v>
      </c>
      <c r="J50" s="76">
        <f t="shared" si="2"/>
        <v>5922487.8161986545</v>
      </c>
      <c r="K50" s="53">
        <v>7000</v>
      </c>
      <c r="L50" s="30">
        <f t="shared" si="23"/>
        <v>1120</v>
      </c>
      <c r="M50" s="30">
        <f t="shared" si="4"/>
        <v>8120</v>
      </c>
      <c r="N50" s="60">
        <f t="shared" si="24"/>
        <v>8120</v>
      </c>
      <c r="O50" s="53">
        <v>700000</v>
      </c>
      <c r="P50" s="30">
        <f t="shared" si="25"/>
        <v>112000</v>
      </c>
      <c r="Q50" s="30">
        <f t="shared" si="7"/>
        <v>812000</v>
      </c>
      <c r="R50" s="60">
        <f t="shared" si="8"/>
        <v>812000</v>
      </c>
      <c r="S50" s="85">
        <f t="shared" si="9"/>
        <v>410060</v>
      </c>
      <c r="T50" s="494"/>
      <c r="U50" s="497"/>
      <c r="V50" s="494"/>
    </row>
    <row r="51" spans="1:22" ht="60" x14ac:dyDescent="0.25">
      <c r="A51" s="468"/>
      <c r="B51" s="471"/>
      <c r="C51" s="474"/>
      <c r="D51" s="102" t="s">
        <v>33</v>
      </c>
      <c r="E51" s="29">
        <v>1</v>
      </c>
      <c r="F51" s="47">
        <v>1</v>
      </c>
      <c r="G51" s="53">
        <v>1856579.2527268508</v>
      </c>
      <c r="H51" s="37">
        <f t="shared" si="22"/>
        <v>297052.68043629616</v>
      </c>
      <c r="I51" s="37">
        <f t="shared" si="1"/>
        <v>2153631.933163147</v>
      </c>
      <c r="J51" s="76">
        <f t="shared" si="2"/>
        <v>2153631.933163147</v>
      </c>
      <c r="K51" s="53">
        <v>25000</v>
      </c>
      <c r="L51" s="30">
        <f t="shared" si="23"/>
        <v>4000</v>
      </c>
      <c r="M51" s="30">
        <f t="shared" si="4"/>
        <v>29000</v>
      </c>
      <c r="N51" s="60">
        <f t="shared" si="24"/>
        <v>29000</v>
      </c>
      <c r="O51" s="53">
        <v>1440000</v>
      </c>
      <c r="P51" s="30">
        <f t="shared" si="25"/>
        <v>230400</v>
      </c>
      <c r="Q51" s="30">
        <f t="shared" si="7"/>
        <v>1670400</v>
      </c>
      <c r="R51" s="60">
        <f t="shared" si="8"/>
        <v>1670400</v>
      </c>
      <c r="S51" s="85">
        <f t="shared" si="9"/>
        <v>849700</v>
      </c>
      <c r="T51" s="494"/>
      <c r="U51" s="497"/>
      <c r="V51" s="494"/>
    </row>
    <row r="52" spans="1:22" ht="60.75" thickBot="1" x14ac:dyDescent="0.3">
      <c r="A52" s="469"/>
      <c r="B52" s="472"/>
      <c r="C52" s="475"/>
      <c r="D52" s="103" t="s">
        <v>34</v>
      </c>
      <c r="E52" s="104">
        <v>1</v>
      </c>
      <c r="F52" s="48">
        <v>1</v>
      </c>
      <c r="G52" s="54">
        <v>928289.6263634254</v>
      </c>
      <c r="H52" s="44">
        <f t="shared" si="22"/>
        <v>148526.34021814808</v>
      </c>
      <c r="I52" s="44">
        <f t="shared" si="1"/>
        <v>1076815.9665815735</v>
      </c>
      <c r="J52" s="61">
        <f t="shared" si="2"/>
        <v>1076815.9665815735</v>
      </c>
      <c r="K52" s="54">
        <v>450000</v>
      </c>
      <c r="L52" s="38">
        <f t="shared" si="23"/>
        <v>72000</v>
      </c>
      <c r="M52" s="38">
        <f t="shared" si="4"/>
        <v>522000</v>
      </c>
      <c r="N52" s="64">
        <f t="shared" si="24"/>
        <v>522000</v>
      </c>
      <c r="O52" s="54">
        <v>1200000</v>
      </c>
      <c r="P52" s="38">
        <f t="shared" si="25"/>
        <v>192000</v>
      </c>
      <c r="Q52" s="38">
        <f t="shared" si="7"/>
        <v>1392000</v>
      </c>
      <c r="R52" s="64">
        <f t="shared" si="8"/>
        <v>1392000</v>
      </c>
      <c r="S52" s="86">
        <f t="shared" si="9"/>
        <v>957000</v>
      </c>
      <c r="T52" s="495"/>
      <c r="U52" s="498"/>
      <c r="V52" s="495"/>
    </row>
    <row r="53" spans="1:22" ht="26.25" customHeight="1" thickBot="1" x14ac:dyDescent="0.4">
      <c r="A53" s="70"/>
      <c r="B53" s="71"/>
      <c r="C53" s="71"/>
      <c r="D53" s="72"/>
      <c r="E53" s="73"/>
      <c r="F53" s="74"/>
      <c r="G53" s="499" t="s">
        <v>41</v>
      </c>
      <c r="H53" s="500"/>
      <c r="I53" s="500"/>
      <c r="J53" s="78">
        <f>SUM(J11:J52)</f>
        <v>369122642.53113621</v>
      </c>
      <c r="K53" s="499" t="s">
        <v>41</v>
      </c>
      <c r="L53" s="500"/>
      <c r="M53" s="500"/>
      <c r="N53" s="78">
        <f>SUM(N11:N52)</f>
        <v>184993088</v>
      </c>
      <c r="O53" s="501" t="s">
        <v>41</v>
      </c>
      <c r="P53" s="502"/>
      <c r="Q53" s="502"/>
      <c r="R53" s="80">
        <f>SUM(R11:R52)</f>
        <v>142039680</v>
      </c>
      <c r="S53" s="87">
        <f>AVERAGE(N53,R53)</f>
        <v>163516384</v>
      </c>
      <c r="T53" s="88">
        <f>SUM(T11:T45)</f>
        <v>163516384</v>
      </c>
      <c r="V53" s="89">
        <f>SUM(V11:V52)</f>
        <v>163516384</v>
      </c>
    </row>
    <row r="54" spans="1:22" x14ac:dyDescent="0.25">
      <c r="A54" s="70"/>
      <c r="B54" s="71"/>
      <c r="C54" s="71"/>
      <c r="D54" s="72"/>
      <c r="E54" s="73"/>
      <c r="F54" s="74"/>
      <c r="G54" s="68"/>
      <c r="H54" s="68"/>
      <c r="I54" s="68"/>
      <c r="J54" s="68"/>
    </row>
    <row r="55" spans="1:22" x14ac:dyDescent="0.25">
      <c r="A55" s="70"/>
      <c r="B55" s="71"/>
      <c r="C55" s="71"/>
      <c r="D55" s="72"/>
      <c r="E55" s="73"/>
      <c r="F55" s="74"/>
      <c r="G55" s="68"/>
      <c r="H55" s="68"/>
      <c r="I55" s="68"/>
      <c r="J55" s="68"/>
    </row>
    <row r="56" spans="1:22" ht="15.75" thickBot="1" x14ac:dyDescent="0.3">
      <c r="Q56" s="93"/>
      <c r="R56" s="91"/>
    </row>
    <row r="57" spans="1:22" ht="16.5" thickBot="1" x14ac:dyDescent="0.3">
      <c r="A57" s="4"/>
      <c r="B57" s="4"/>
      <c r="D57" s="120" t="s">
        <v>53</v>
      </c>
      <c r="E57" s="461">
        <f>+V53</f>
        <v>163516384</v>
      </c>
      <c r="F57" s="462"/>
      <c r="G57" s="463"/>
      <c r="N57" s="94"/>
      <c r="P57" s="93"/>
      <c r="Q57" s="79"/>
      <c r="R57" s="92"/>
    </row>
    <row r="58" spans="1:22" ht="16.5" thickBot="1" x14ac:dyDescent="0.3">
      <c r="D58" s="120" t="s">
        <v>54</v>
      </c>
      <c r="E58" s="461">
        <f>+E57-V45-V38</f>
        <v>152947624</v>
      </c>
      <c r="F58" s="462"/>
      <c r="G58" s="463"/>
    </row>
    <row r="59" spans="1:22" ht="16.5" thickBot="1" x14ac:dyDescent="0.3">
      <c r="D59" s="120" t="s">
        <v>55</v>
      </c>
      <c r="E59" s="461">
        <f>+V45+V38</f>
        <v>10568760</v>
      </c>
      <c r="F59" s="462"/>
      <c r="G59" s="463"/>
    </row>
    <row r="60" spans="1:22" ht="15.75" x14ac:dyDescent="0.25">
      <c r="D60" s="121"/>
      <c r="E60" s="122"/>
      <c r="F60" s="122"/>
      <c r="G60" s="122"/>
    </row>
    <row r="61" spans="1:22" ht="16.5" thickBot="1" x14ac:dyDescent="0.3">
      <c r="D61" s="121"/>
      <c r="E61" s="122"/>
      <c r="F61" s="122"/>
      <c r="G61" s="122"/>
    </row>
    <row r="62" spans="1:22" ht="27" thickBot="1" x14ac:dyDescent="0.45">
      <c r="D62" s="123" t="s">
        <v>56</v>
      </c>
      <c r="E62" s="438">
        <f>+E57</f>
        <v>163516384</v>
      </c>
      <c r="F62" s="439"/>
      <c r="G62" s="440"/>
    </row>
    <row r="63" spans="1:22" ht="15.75" x14ac:dyDescent="0.25">
      <c r="D63" s="121"/>
      <c r="E63" s="122"/>
      <c r="F63" s="122"/>
      <c r="G63" s="122"/>
    </row>
    <row r="64" spans="1:22" ht="15.75" x14ac:dyDescent="0.25">
      <c r="D64" s="121"/>
      <c r="E64" s="122"/>
      <c r="F64" s="122"/>
      <c r="G64" s="122"/>
    </row>
    <row r="65" spans="4:7" ht="15.75" x14ac:dyDescent="0.25">
      <c r="D65" s="121"/>
      <c r="E65" s="122"/>
      <c r="F65" s="122"/>
      <c r="G65" s="122"/>
    </row>
  </sheetData>
  <mergeCells count="63">
    <mergeCell ref="Q8:Q9"/>
    <mergeCell ref="R8:R9"/>
    <mergeCell ref="K8:K9"/>
    <mergeCell ref="L8:L9"/>
    <mergeCell ref="B11:B21"/>
    <mergeCell ref="C11:C21"/>
    <mergeCell ref="I8:I9"/>
    <mergeCell ref="J8:J9"/>
    <mergeCell ref="E8:E9"/>
    <mergeCell ref="F8:F9"/>
    <mergeCell ref="G8:G9"/>
    <mergeCell ref="H8:H9"/>
    <mergeCell ref="A4:V4"/>
    <mergeCell ref="G7:J7"/>
    <mergeCell ref="K7:N7"/>
    <mergeCell ref="O7:R7"/>
    <mergeCell ref="S7:S9"/>
    <mergeCell ref="T7:T9"/>
    <mergeCell ref="U7:U9"/>
    <mergeCell ref="V7:V9"/>
    <mergeCell ref="A8:A9"/>
    <mergeCell ref="B8:B9"/>
    <mergeCell ref="O8:O9"/>
    <mergeCell ref="P8:P9"/>
    <mergeCell ref="M8:M9"/>
    <mergeCell ref="N8:N9"/>
    <mergeCell ref="C8:C9"/>
    <mergeCell ref="D8:D9"/>
    <mergeCell ref="V33:V37"/>
    <mergeCell ref="T11:T21"/>
    <mergeCell ref="U11:U21"/>
    <mergeCell ref="V11:V21"/>
    <mergeCell ref="A22:A32"/>
    <mergeCell ref="B22:B32"/>
    <mergeCell ref="C22:C32"/>
    <mergeCell ref="T22:T32"/>
    <mergeCell ref="U22:U32"/>
    <mergeCell ref="V22:V32"/>
    <mergeCell ref="A33:A37"/>
    <mergeCell ref="B33:B37"/>
    <mergeCell ref="C33:C37"/>
    <mergeCell ref="T33:T37"/>
    <mergeCell ref="U33:U37"/>
    <mergeCell ref="A11:A21"/>
    <mergeCell ref="V45:V52"/>
    <mergeCell ref="A38:A44"/>
    <mergeCell ref="B38:B44"/>
    <mergeCell ref="C38:C44"/>
    <mergeCell ref="T38:T44"/>
    <mergeCell ref="U38:U44"/>
    <mergeCell ref="V38:V44"/>
    <mergeCell ref="A45:A52"/>
    <mergeCell ref="B45:B52"/>
    <mergeCell ref="C45:C52"/>
    <mergeCell ref="T45:T52"/>
    <mergeCell ref="U45:U52"/>
    <mergeCell ref="E62:G62"/>
    <mergeCell ref="G53:I53"/>
    <mergeCell ref="K53:M53"/>
    <mergeCell ref="O53:Q53"/>
    <mergeCell ref="E57:G57"/>
    <mergeCell ref="E58:G58"/>
    <mergeCell ref="E59:G59"/>
  </mergeCells>
  <printOptions horizontalCentered="1" verticalCentered="1"/>
  <pageMargins left="0.11811023622047245" right="0.11811023622047245" top="0.74803149606299213" bottom="0.35433070866141736" header="0.31496062992125984" footer="0.31496062992125984"/>
  <pageSetup scale="40" orientation="landscape"/>
  <drawing r:id="rId1"/>
  <extLst>
    <ext xmlns:mx="http://schemas.microsoft.com/office/mac/excel/2008/main" uri="{64002731-A6B0-56B0-2670-7721B7C09600}">
      <mx:PLV Mode="0" OnePage="0" WScale="0"/>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9"/>
  <sheetViews>
    <sheetView topLeftCell="A4" workbookViewId="0">
      <selection activeCell="B66" sqref="B66"/>
    </sheetView>
  </sheetViews>
  <sheetFormatPr baseColWidth="10" defaultColWidth="9.140625" defaultRowHeight="15" x14ac:dyDescent="0.25"/>
  <cols>
    <col min="2" max="2" width="31.5703125" customWidth="1"/>
    <col min="3" max="3" width="40.42578125" customWidth="1"/>
    <col min="4" max="4" width="35" customWidth="1"/>
    <col min="5" max="5" width="9.140625" customWidth="1"/>
    <col min="9" max="9" width="14.140625" bestFit="1" customWidth="1"/>
  </cols>
  <sheetData>
    <row r="1" spans="1:13" x14ac:dyDescent="0.25">
      <c r="B1" t="s">
        <v>267</v>
      </c>
      <c r="C1" t="s">
        <v>268</v>
      </c>
      <c r="D1" t="s">
        <v>269</v>
      </c>
      <c r="E1" t="s">
        <v>270</v>
      </c>
    </row>
    <row r="2" spans="1:13" x14ac:dyDescent="0.25">
      <c r="B2" s="598" t="s">
        <v>271</v>
      </c>
      <c r="C2" s="598"/>
      <c r="D2" s="598"/>
      <c r="E2" s="598"/>
      <c r="I2" t="s">
        <v>272</v>
      </c>
    </row>
    <row r="3" spans="1:13" ht="30" x14ac:dyDescent="0.25">
      <c r="A3">
        <v>5</v>
      </c>
      <c r="B3" s="310" t="s">
        <v>273</v>
      </c>
      <c r="C3" s="313">
        <v>38641000</v>
      </c>
      <c r="D3" t="s">
        <v>274</v>
      </c>
      <c r="E3" t="s">
        <v>275</v>
      </c>
      <c r="I3" s="315">
        <f>33100*600</f>
        <v>19860000</v>
      </c>
    </row>
    <row r="4" spans="1:13" ht="75" x14ac:dyDescent="0.25">
      <c r="A4">
        <v>9</v>
      </c>
      <c r="B4" s="310" t="s">
        <v>276</v>
      </c>
      <c r="C4" s="314">
        <v>33100</v>
      </c>
      <c r="D4" t="s">
        <v>277</v>
      </c>
      <c r="E4" s="311" t="s">
        <v>278</v>
      </c>
    </row>
    <row r="5" spans="1:13" x14ac:dyDescent="0.25">
      <c r="A5" s="599" t="s">
        <v>279</v>
      </c>
      <c r="B5" s="599"/>
      <c r="C5" s="599"/>
      <c r="D5" s="599"/>
      <c r="E5" s="599"/>
    </row>
    <row r="6" spans="1:13" ht="30" x14ac:dyDescent="0.25">
      <c r="A6">
        <v>4</v>
      </c>
      <c r="B6" s="312" t="s">
        <v>280</v>
      </c>
      <c r="C6" s="313">
        <v>1275000</v>
      </c>
      <c r="D6" t="s">
        <v>281</v>
      </c>
      <c r="E6" s="311" t="s">
        <v>282</v>
      </c>
    </row>
    <row r="7" spans="1:13" ht="30" x14ac:dyDescent="0.25">
      <c r="A7">
        <v>5</v>
      </c>
      <c r="B7" s="310" t="s">
        <v>283</v>
      </c>
      <c r="C7" s="313">
        <v>975000</v>
      </c>
      <c r="D7" t="s">
        <v>281</v>
      </c>
      <c r="E7" s="311" t="s">
        <v>282</v>
      </c>
    </row>
    <row r="8" spans="1:13" ht="30" x14ac:dyDescent="0.25">
      <c r="A8">
        <v>9</v>
      </c>
      <c r="B8" s="310" t="s">
        <v>284</v>
      </c>
      <c r="C8" s="316">
        <v>604</v>
      </c>
      <c r="D8" t="s">
        <v>285</v>
      </c>
      <c r="E8" s="311" t="s">
        <v>286</v>
      </c>
    </row>
    <row r="9" spans="1:13" ht="30" x14ac:dyDescent="0.25">
      <c r="A9">
        <v>11</v>
      </c>
      <c r="B9" s="310" t="s">
        <v>287</v>
      </c>
      <c r="C9" s="317"/>
    </row>
    <row r="10" spans="1:13" x14ac:dyDescent="0.25">
      <c r="A10">
        <v>12</v>
      </c>
      <c r="B10" s="310" t="s">
        <v>288</v>
      </c>
      <c r="C10" s="317">
        <v>1160</v>
      </c>
      <c r="D10" t="s">
        <v>289</v>
      </c>
      <c r="E10" s="311" t="s">
        <v>290</v>
      </c>
    </row>
    <row r="11" spans="1:13" ht="75" x14ac:dyDescent="0.25">
      <c r="A11">
        <v>15</v>
      </c>
      <c r="B11" s="310" t="s">
        <v>291</v>
      </c>
      <c r="C11" s="317">
        <v>16600</v>
      </c>
      <c r="D11" t="s">
        <v>292</v>
      </c>
      <c r="E11" s="311" t="s">
        <v>293</v>
      </c>
      <c r="M11">
        <v>2015</v>
      </c>
    </row>
    <row r="12" spans="1:13" ht="75" x14ac:dyDescent="0.25">
      <c r="A12">
        <v>17</v>
      </c>
      <c r="B12" s="310" t="s">
        <v>294</v>
      </c>
      <c r="C12" s="317">
        <v>19970</v>
      </c>
      <c r="D12" t="s">
        <v>295</v>
      </c>
      <c r="E12" s="311" t="s">
        <v>296</v>
      </c>
      <c r="M12">
        <v>2015</v>
      </c>
    </row>
    <row r="13" spans="1:13" x14ac:dyDescent="0.25">
      <c r="B13" s="310"/>
    </row>
    <row r="14" spans="1:13" x14ac:dyDescent="0.25">
      <c r="B14" s="310"/>
    </row>
    <row r="15" spans="1:13" x14ac:dyDescent="0.25">
      <c r="B15" s="310"/>
    </row>
    <row r="16" spans="1:13" x14ac:dyDescent="0.25">
      <c r="B16" s="310"/>
    </row>
    <row r="17" spans="2:2" x14ac:dyDescent="0.25">
      <c r="B17" s="310"/>
    </row>
    <row r="18" spans="2:2" x14ac:dyDescent="0.25">
      <c r="B18" s="310"/>
    </row>
    <row r="19" spans="2:2" x14ac:dyDescent="0.25">
      <c r="B19" s="310"/>
    </row>
  </sheetData>
  <mergeCells count="2">
    <mergeCell ref="B2:E2"/>
    <mergeCell ref="A5:E5"/>
  </mergeCells>
  <hyperlinks>
    <hyperlink ref="E10" r:id="rId1"/>
    <hyperlink ref="E4" r:id="rId2"/>
    <hyperlink ref="E7" r:id="rId3"/>
    <hyperlink ref="E6" r:id="rId4"/>
    <hyperlink ref="E8" r:id="rId5"/>
    <hyperlink ref="E11" r:id="rId6"/>
    <hyperlink ref="E12" r:id="rId7"/>
  </hyperlinks>
  <pageMargins left="0.7" right="0.7" top="0.75" bottom="0.75" header="0.3" footer="0.3"/>
  <pageSetup orientation="portrait" r:id="rId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C5"/>
  <sheetViews>
    <sheetView workbookViewId="0">
      <selection activeCell="C3" sqref="C3:C5"/>
    </sheetView>
  </sheetViews>
  <sheetFormatPr baseColWidth="10" defaultRowHeight="15" x14ac:dyDescent="0.25"/>
  <cols>
    <col min="3" max="3" width="34" customWidth="1"/>
  </cols>
  <sheetData>
    <row r="3" spans="2:3" x14ac:dyDescent="0.25">
      <c r="B3" t="s">
        <v>221</v>
      </c>
      <c r="C3" t="s">
        <v>222</v>
      </c>
    </row>
    <row r="4" spans="2:3" x14ac:dyDescent="0.25">
      <c r="B4" t="s">
        <v>223</v>
      </c>
      <c r="C4" t="s">
        <v>224</v>
      </c>
    </row>
    <row r="5" spans="2:3" x14ac:dyDescent="0.25">
      <c r="B5" t="s">
        <v>231</v>
      </c>
      <c r="C5" s="175" t="s">
        <v>226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99"/>
  <sheetViews>
    <sheetView view="pageBreakPreview" zoomScaleSheetLayoutView="100" zoomScalePageLayoutView="125" workbookViewId="0">
      <pane xSplit="2" ySplit="11" topLeftCell="G12" activePane="bottomRight" state="frozen"/>
      <selection pane="topRight" activeCell="C1" sqref="C1"/>
      <selection pane="bottomLeft" activeCell="A12" sqref="A12"/>
      <selection pane="bottomRight" activeCell="K18" sqref="K18"/>
    </sheetView>
  </sheetViews>
  <sheetFormatPr baseColWidth="10" defaultColWidth="10.85546875" defaultRowHeight="12.75" x14ac:dyDescent="0.2"/>
  <cols>
    <col min="1" max="1" width="7.42578125" style="172" bestFit="1" customWidth="1"/>
    <col min="2" max="2" width="83" style="173" customWidth="1"/>
    <col min="3" max="3" width="14.140625" style="174" customWidth="1"/>
    <col min="4" max="4" width="16.140625" style="174" customWidth="1"/>
    <col min="5" max="5" width="15.7109375" style="178" hidden="1" customWidth="1"/>
    <col min="6" max="6" width="20.28515625" style="178" hidden="1" customWidth="1"/>
    <col min="7" max="7" width="14.7109375" style="215" customWidth="1"/>
    <col min="8" max="8" width="17.85546875" style="215" customWidth="1"/>
    <col min="9" max="9" width="12.5703125" style="215" customWidth="1"/>
    <col min="10" max="10" width="14.85546875" style="215" customWidth="1"/>
    <col min="11" max="11" width="14.140625" style="215" customWidth="1"/>
    <col min="12" max="12" width="14.85546875" style="215" bestFit="1" customWidth="1"/>
    <col min="13" max="13" width="14.85546875" style="215" hidden="1" customWidth="1"/>
    <col min="14" max="14" width="14.85546875" style="215" customWidth="1"/>
    <col min="15" max="15" width="14.85546875" style="215" hidden="1" customWidth="1"/>
    <col min="16" max="17" width="35.7109375" style="137" hidden="1" customWidth="1"/>
    <col min="18" max="18" width="15.85546875" style="188" hidden="1" customWidth="1"/>
    <col min="19" max="19" width="14.42578125" style="188" hidden="1" customWidth="1"/>
    <col min="20" max="20" width="13.42578125" style="137" bestFit="1" customWidth="1"/>
    <col min="21" max="21" width="11.5703125" style="137" bestFit="1" customWidth="1"/>
    <col min="22" max="16384" width="10.85546875" style="137"/>
  </cols>
  <sheetData>
    <row r="1" spans="1:19" x14ac:dyDescent="0.2">
      <c r="B1" s="213"/>
      <c r="M1" s="215">
        <v>7000000</v>
      </c>
    </row>
    <row r="2" spans="1:19" hidden="1" x14ac:dyDescent="0.2">
      <c r="B2" s="213" t="s">
        <v>192</v>
      </c>
    </row>
    <row r="3" spans="1:19" hidden="1" x14ac:dyDescent="0.2">
      <c r="B3" s="213" t="s">
        <v>194</v>
      </c>
    </row>
    <row r="4" spans="1:19" hidden="1" x14ac:dyDescent="0.2">
      <c r="B4" s="214" t="s">
        <v>161</v>
      </c>
    </row>
    <row r="5" spans="1:19" hidden="1" x14ac:dyDescent="0.2">
      <c r="B5" s="213" t="s">
        <v>160</v>
      </c>
    </row>
    <row r="6" spans="1:19" hidden="1" x14ac:dyDescent="0.2">
      <c r="B6" s="213" t="s">
        <v>193</v>
      </c>
    </row>
    <row r="7" spans="1:19" ht="27" customHeight="1" x14ac:dyDescent="0.2">
      <c r="G7" s="294" t="s">
        <v>222</v>
      </c>
      <c r="H7" s="294">
        <v>3</v>
      </c>
      <c r="I7" s="215" t="s">
        <v>241</v>
      </c>
    </row>
    <row r="8" spans="1:19" ht="15" customHeight="1" x14ac:dyDescent="0.2">
      <c r="A8" s="542" t="s">
        <v>259</v>
      </c>
      <c r="B8" s="543"/>
      <c r="C8" s="543"/>
      <c r="D8" s="543"/>
      <c r="E8" s="543"/>
      <c r="F8" s="543"/>
      <c r="G8" s="543"/>
      <c r="H8" s="543"/>
      <c r="I8" s="543"/>
      <c r="J8" s="543"/>
      <c r="K8" s="543"/>
      <c r="L8" s="543"/>
      <c r="M8" s="543"/>
      <c r="N8" s="543"/>
      <c r="O8" s="543"/>
    </row>
    <row r="9" spans="1:19" ht="25.5" x14ac:dyDescent="0.2">
      <c r="A9" s="538" t="s">
        <v>62</v>
      </c>
      <c r="B9" s="538"/>
      <c r="C9" s="264" t="s">
        <v>63</v>
      </c>
      <c r="D9" s="264" t="s">
        <v>64</v>
      </c>
      <c r="E9" s="273" t="s">
        <v>101</v>
      </c>
      <c r="F9" s="273" t="s">
        <v>61</v>
      </c>
      <c r="G9" s="274" t="s">
        <v>658</v>
      </c>
      <c r="H9" s="274" t="s">
        <v>662</v>
      </c>
      <c r="I9" s="274" t="s">
        <v>664</v>
      </c>
      <c r="J9" s="277" t="s">
        <v>266</v>
      </c>
      <c r="K9" s="277" t="s">
        <v>305</v>
      </c>
      <c r="L9" s="274"/>
      <c r="M9" s="274"/>
      <c r="N9" s="274"/>
      <c r="O9" s="274"/>
    </row>
    <row r="10" spans="1:19" x14ac:dyDescent="0.2">
      <c r="A10" s="275"/>
      <c r="B10" s="272" t="s">
        <v>117</v>
      </c>
      <c r="C10" s="264"/>
      <c r="D10" s="264"/>
      <c r="E10" s="273"/>
      <c r="F10" s="273"/>
      <c r="G10" s="274"/>
      <c r="H10" s="274"/>
      <c r="I10" s="274"/>
      <c r="J10" s="274"/>
      <c r="K10" s="274"/>
      <c r="L10" s="274"/>
      <c r="M10" s="274"/>
      <c r="N10" s="274"/>
      <c r="O10" s="274"/>
    </row>
    <row r="11" spans="1:19" ht="40.5" customHeight="1" x14ac:dyDescent="0.2">
      <c r="A11" s="276" t="s">
        <v>129</v>
      </c>
      <c r="B11" s="272" t="s">
        <v>170</v>
      </c>
      <c r="C11" s="272"/>
      <c r="D11" s="272"/>
      <c r="E11" s="273"/>
      <c r="F11" s="273"/>
      <c r="G11" s="277" t="s">
        <v>101</v>
      </c>
      <c r="H11" s="277" t="s">
        <v>101</v>
      </c>
      <c r="I11" s="277" t="s">
        <v>101</v>
      </c>
      <c r="J11" s="277" t="s">
        <v>101</v>
      </c>
      <c r="K11" s="277" t="s">
        <v>101</v>
      </c>
      <c r="L11" s="414" t="s">
        <v>644</v>
      </c>
      <c r="M11" s="414" t="s">
        <v>645</v>
      </c>
      <c r="N11" s="414" t="s">
        <v>646</v>
      </c>
      <c r="O11" s="414" t="s">
        <v>647</v>
      </c>
      <c r="P11" s="414" t="s">
        <v>648</v>
      </c>
      <c r="Q11" s="414" t="s">
        <v>657</v>
      </c>
    </row>
    <row r="12" spans="1:19" x14ac:dyDescent="0.2">
      <c r="A12" s="158">
        <v>1</v>
      </c>
      <c r="B12" s="147" t="s">
        <v>127</v>
      </c>
      <c r="C12" s="254">
        <v>3</v>
      </c>
      <c r="D12" s="148" t="s">
        <v>111</v>
      </c>
      <c r="E12" s="181">
        <v>29700000</v>
      </c>
      <c r="F12" s="181">
        <f t="shared" ref="F12:F20" si="0">+E12*C12</f>
        <v>89100000</v>
      </c>
      <c r="G12" s="252">
        <f>+CO1_MODIFICADA!F12</f>
        <v>29700000</v>
      </c>
      <c r="H12" s="252">
        <f>+'CO3'!F12</f>
        <v>34800000</v>
      </c>
      <c r="I12" s="252">
        <f>+CO4AJUSTADA!G12</f>
        <v>19740000</v>
      </c>
      <c r="J12" s="217">
        <f>+(25289227*1.036)*1.0677</f>
        <v>27973354.743944407</v>
      </c>
      <c r="K12" s="217" t="s">
        <v>560</v>
      </c>
      <c r="L12" s="217">
        <f>+GEOMEAN(G12:K12)</f>
        <v>27485702.952686749</v>
      </c>
      <c r="M12" s="217">
        <f t="shared" ref="M12:M52" si="1">+AVERAGE(G12:K12)</f>
        <v>28053338.685986102</v>
      </c>
      <c r="N12" s="217">
        <f t="shared" ref="N12:N52" si="2">+L12*C12</f>
        <v>82457108.858060241</v>
      </c>
      <c r="O12" s="217">
        <f t="shared" ref="O12:O43" si="3">+M12*C12</f>
        <v>84160016.057958305</v>
      </c>
      <c r="P12" s="415"/>
      <c r="Q12" s="415"/>
      <c r="R12" s="188">
        <f>+GEOMEAN(I12:J12)</f>
        <v>23498808.962274291</v>
      </c>
      <c r="S12" s="188">
        <f t="shared" ref="S12:S52" si="4">+R12*C12</f>
        <v>70496426.886822879</v>
      </c>
    </row>
    <row r="13" spans="1:19" x14ac:dyDescent="0.2">
      <c r="A13" s="158">
        <v>2</v>
      </c>
      <c r="B13" s="147" t="s">
        <v>128</v>
      </c>
      <c r="C13" s="254">
        <v>4</v>
      </c>
      <c r="D13" s="148" t="s">
        <v>111</v>
      </c>
      <c r="E13" s="181">
        <v>29400000</v>
      </c>
      <c r="F13" s="181">
        <f t="shared" si="0"/>
        <v>117600000</v>
      </c>
      <c r="G13" s="252">
        <f>+CO1_MODIFICADA!F13</f>
        <v>29400000</v>
      </c>
      <c r="H13" s="252">
        <f>+'CO3'!F13</f>
        <v>31320000</v>
      </c>
      <c r="I13" s="252">
        <f>+CO4AJUSTADA!G13</f>
        <v>17640000</v>
      </c>
      <c r="J13" s="217">
        <f>+(11899000*1.036)*1.0677</f>
        <v>13161926.542800002</v>
      </c>
      <c r="K13" s="217" t="s">
        <v>560</v>
      </c>
      <c r="L13" s="217">
        <f t="shared" ref="L13:L66" si="5">+GEOMEAN(G13:K13)</f>
        <v>21502887.453190994</v>
      </c>
      <c r="M13" s="217">
        <f t="shared" si="1"/>
        <v>22880481.635700002</v>
      </c>
      <c r="N13" s="217">
        <f t="shared" si="2"/>
        <v>86011549.812763974</v>
      </c>
      <c r="O13" s="217">
        <f t="shared" si="3"/>
        <v>91521926.542800009</v>
      </c>
      <c r="P13" s="416"/>
      <c r="Q13" s="416"/>
      <c r="R13" s="188">
        <f>+GEOMEAN(I13:J13)</f>
        <v>15237335.207148001</v>
      </c>
      <c r="S13" s="188">
        <f t="shared" si="4"/>
        <v>60949340.828592002</v>
      </c>
    </row>
    <row r="14" spans="1:19" x14ac:dyDescent="0.2">
      <c r="A14" s="158">
        <v>3</v>
      </c>
      <c r="B14" s="147" t="s">
        <v>186</v>
      </c>
      <c r="C14" s="254">
        <v>5</v>
      </c>
      <c r="D14" s="148" t="s">
        <v>110</v>
      </c>
      <c r="E14" s="181">
        <v>7300000</v>
      </c>
      <c r="F14" s="181">
        <f t="shared" si="0"/>
        <v>36500000</v>
      </c>
      <c r="G14" s="252">
        <f>+CO1_MODIFICADA!F14</f>
        <v>7300000</v>
      </c>
      <c r="H14" s="252">
        <f>+'CO3'!F14</f>
        <v>7888000</v>
      </c>
      <c r="I14" s="252">
        <f>+CO4AJUSTADA!G14</f>
        <v>21329000</v>
      </c>
      <c r="J14" s="217">
        <f>9260000*1.0677</f>
        <v>9886902</v>
      </c>
      <c r="K14" s="217" t="s">
        <v>560</v>
      </c>
      <c r="L14" s="217">
        <f t="shared" si="5"/>
        <v>10497360.728147894</v>
      </c>
      <c r="M14" s="217">
        <f t="shared" si="1"/>
        <v>11600975.5</v>
      </c>
      <c r="N14" s="217">
        <f t="shared" si="2"/>
        <v>52486803.640739471</v>
      </c>
      <c r="O14" s="217">
        <f t="shared" si="3"/>
        <v>58004877.5</v>
      </c>
      <c r="P14" s="416"/>
      <c r="Q14" s="416"/>
      <c r="R14" s="188">
        <f>+GEOMEAN(I14:J14)</f>
        <v>14521629.824437751</v>
      </c>
      <c r="S14" s="188">
        <f t="shared" si="4"/>
        <v>72608149.122188747</v>
      </c>
    </row>
    <row r="15" spans="1:19" x14ac:dyDescent="0.2">
      <c r="A15" s="158">
        <v>4</v>
      </c>
      <c r="B15" s="147" t="s">
        <v>187</v>
      </c>
      <c r="C15" s="254">
        <v>5</v>
      </c>
      <c r="D15" s="148" t="s">
        <v>110</v>
      </c>
      <c r="E15" s="181">
        <v>5400000</v>
      </c>
      <c r="F15" s="181">
        <f t="shared" si="0"/>
        <v>27000000</v>
      </c>
      <c r="G15" s="252">
        <f>+CO1_MODIFICADA!F15</f>
        <v>5400000</v>
      </c>
      <c r="H15" s="252">
        <f>+'CO3'!F15</f>
        <v>9280000</v>
      </c>
      <c r="I15" s="252">
        <f>+CO4AJUSTADA!G15</f>
        <v>24570000</v>
      </c>
      <c r="J15" s="217">
        <f>+((28875000)*1.036)*1.0677</f>
        <v>31939711.650000002</v>
      </c>
      <c r="K15" s="217" t="s">
        <v>560</v>
      </c>
      <c r="L15" s="217">
        <f t="shared" si="5"/>
        <v>14082166.370641977</v>
      </c>
      <c r="M15" s="217">
        <f t="shared" si="1"/>
        <v>17797427.912500001</v>
      </c>
      <c r="N15" s="217">
        <f t="shared" si="2"/>
        <v>70410831.853209883</v>
      </c>
      <c r="O15" s="217">
        <f t="shared" si="3"/>
        <v>88987139.5625</v>
      </c>
      <c r="P15" s="416"/>
      <c r="Q15" s="416"/>
      <c r="R15" s="188">
        <f>+GEOMEAN(I15:J15)</f>
        <v>28013545.210138973</v>
      </c>
      <c r="S15" s="188">
        <f t="shared" si="4"/>
        <v>140067726.05069485</v>
      </c>
    </row>
    <row r="16" spans="1:19" x14ac:dyDescent="0.2">
      <c r="A16" s="158">
        <v>5</v>
      </c>
      <c r="B16" s="147" t="s">
        <v>113</v>
      </c>
      <c r="C16" s="254">
        <v>4</v>
      </c>
      <c r="D16" s="148" t="s">
        <v>114</v>
      </c>
      <c r="E16" s="181">
        <v>21000000</v>
      </c>
      <c r="F16" s="181">
        <f t="shared" si="0"/>
        <v>84000000</v>
      </c>
      <c r="G16" s="252">
        <f>+CO1_MODIFICADA!F16</f>
        <v>21000000</v>
      </c>
      <c r="H16" s="252">
        <f>+'CO3'!F16</f>
        <v>87000000</v>
      </c>
      <c r="I16" s="252">
        <f>+CO4AJUSTADA!G16</f>
        <v>28560000</v>
      </c>
      <c r="J16" s="217">
        <f>+SECOP_CONIE!C3</f>
        <v>38641000</v>
      </c>
      <c r="K16" s="217">
        <f>+'OPTIMA 2015'!F211</f>
        <v>30000000</v>
      </c>
      <c r="L16" s="217">
        <f t="shared" si="5"/>
        <v>36002550.849903293</v>
      </c>
      <c r="M16" s="217">
        <f t="shared" si="1"/>
        <v>41040200</v>
      </c>
      <c r="N16" s="217">
        <f t="shared" si="2"/>
        <v>144010203.39961317</v>
      </c>
      <c r="O16" s="217">
        <f t="shared" si="3"/>
        <v>164160800</v>
      </c>
      <c r="P16" s="416" t="s">
        <v>274</v>
      </c>
      <c r="Q16" s="416"/>
      <c r="R16" s="188">
        <f>+GEOMEAN(I16:J16)</f>
        <v>33220279.348614756</v>
      </c>
      <c r="S16" s="188">
        <f t="shared" si="4"/>
        <v>132881117.39445902</v>
      </c>
    </row>
    <row r="17" spans="1:19" x14ac:dyDescent="0.2">
      <c r="A17" s="158">
        <v>6</v>
      </c>
      <c r="B17" s="147" t="s">
        <v>107</v>
      </c>
      <c r="C17" s="254">
        <v>11</v>
      </c>
      <c r="D17" s="148" t="s">
        <v>123</v>
      </c>
      <c r="E17" s="181">
        <v>14500000</v>
      </c>
      <c r="F17" s="181">
        <f t="shared" si="0"/>
        <v>159500000</v>
      </c>
      <c r="G17" s="252">
        <f>+CO1_MODIFICADA!F17</f>
        <v>14500000</v>
      </c>
      <c r="H17" s="252">
        <f>+'CO3'!F17</f>
        <v>29000000</v>
      </c>
      <c r="I17" s="252">
        <f>+CO4AJUSTADA!G17</f>
        <v>31467800</v>
      </c>
      <c r="J17" s="252">
        <f>15000000*1.0677</f>
        <v>16015500.000000002</v>
      </c>
      <c r="K17" s="217" t="s">
        <v>560</v>
      </c>
      <c r="L17" s="217">
        <f>+GEOMEAN(G17:K17)</f>
        <v>21455726.316218432</v>
      </c>
      <c r="M17" s="217">
        <f t="shared" si="1"/>
        <v>22745825</v>
      </c>
      <c r="N17" s="217">
        <f t="shared" si="2"/>
        <v>236012989.47840276</v>
      </c>
      <c r="O17" s="217">
        <f t="shared" si="3"/>
        <v>250204075</v>
      </c>
      <c r="P17" s="419" t="s">
        <v>611</v>
      </c>
      <c r="Q17" s="419"/>
      <c r="R17" s="188">
        <f>+GEOMEAN(G17:J17)</f>
        <v>21455726.316218432</v>
      </c>
      <c r="S17" s="188">
        <f t="shared" si="4"/>
        <v>236012989.47840276</v>
      </c>
    </row>
    <row r="18" spans="1:19" x14ac:dyDescent="0.2">
      <c r="A18" s="158">
        <v>7</v>
      </c>
      <c r="B18" s="147" t="s">
        <v>151</v>
      </c>
      <c r="C18" s="254">
        <v>2</v>
      </c>
      <c r="D18" s="148" t="s">
        <v>252</v>
      </c>
      <c r="E18" s="181">
        <v>15400000</v>
      </c>
      <c r="F18" s="181">
        <f t="shared" si="0"/>
        <v>30800000</v>
      </c>
      <c r="G18" s="252">
        <f>+CO1_MODIFICADA!F18</f>
        <v>15400000</v>
      </c>
      <c r="H18" s="252">
        <f>+'CO3'!F18</f>
        <v>17400000</v>
      </c>
      <c r="I18" s="252">
        <f>+CO4AJUSTADA!G18</f>
        <v>6715900</v>
      </c>
      <c r="J18" s="217">
        <f>(6032000*1.036)*1.0677</f>
        <v>6672219.590400001</v>
      </c>
      <c r="K18" s="217">
        <f>+'OPTIMA 2015'!F111*1.036</f>
        <v>6216000</v>
      </c>
      <c r="L18" s="217">
        <f>+GEOMEAN(G18:K18)</f>
        <v>9431724.4737319108</v>
      </c>
      <c r="M18" s="217">
        <f t="shared" si="1"/>
        <v>10480823.91808</v>
      </c>
      <c r="N18" s="217">
        <f t="shared" si="2"/>
        <v>18863448.947463822</v>
      </c>
      <c r="O18" s="217">
        <f t="shared" si="3"/>
        <v>20961647.83616</v>
      </c>
      <c r="P18" s="419" t="s">
        <v>607</v>
      </c>
      <c r="Q18" s="419"/>
      <c r="R18" s="188">
        <f>+GEOMEAN(I18:J18)</f>
        <v>6694024.1669094209</v>
      </c>
      <c r="S18" s="188">
        <f t="shared" si="4"/>
        <v>13388048.333818842</v>
      </c>
    </row>
    <row r="19" spans="1:19" ht="13.5" thickBot="1" x14ac:dyDescent="0.25">
      <c r="A19" s="158">
        <v>8</v>
      </c>
      <c r="B19" s="147" t="s">
        <v>176</v>
      </c>
      <c r="C19" s="254">
        <v>2</v>
      </c>
      <c r="D19" s="148" t="s">
        <v>252</v>
      </c>
      <c r="E19" s="181">
        <v>21000000</v>
      </c>
      <c r="F19" s="181">
        <f t="shared" si="0"/>
        <v>42000000</v>
      </c>
      <c r="G19" s="252">
        <f>+CO1_MODIFICADA!F19</f>
        <v>19000000</v>
      </c>
      <c r="H19" s="252">
        <f>+'CO3'!F19</f>
        <v>14160000</v>
      </c>
      <c r="I19" s="252">
        <f>+CO4AJUSTADA!G19</f>
        <v>12901360</v>
      </c>
      <c r="J19" s="217">
        <f>+(19024000*1.0677)</f>
        <v>20311924.800000001</v>
      </c>
      <c r="K19" s="217" t="s">
        <v>560</v>
      </c>
      <c r="L19" s="217">
        <f t="shared" si="5"/>
        <v>16294868.388226975</v>
      </c>
      <c r="M19" s="217">
        <f t="shared" si="1"/>
        <v>16593321.199999999</v>
      </c>
      <c r="N19" s="217">
        <f t="shared" si="2"/>
        <v>32589736.77645395</v>
      </c>
      <c r="O19" s="217">
        <f t="shared" si="3"/>
        <v>33186642.399999999</v>
      </c>
      <c r="P19" s="419" t="s">
        <v>663</v>
      </c>
      <c r="Q19" s="419"/>
      <c r="R19" s="188">
        <f>+GEOMEAN(I19:J19)</f>
        <v>16188003.401832111</v>
      </c>
      <c r="S19" s="188">
        <f t="shared" si="4"/>
        <v>32376006.803664222</v>
      </c>
    </row>
    <row r="20" spans="1:19" x14ac:dyDescent="0.2">
      <c r="A20" s="158">
        <v>9</v>
      </c>
      <c r="B20" s="147" t="s">
        <v>144</v>
      </c>
      <c r="C20" s="256">
        <v>8</v>
      </c>
      <c r="D20" s="147" t="s">
        <v>145</v>
      </c>
      <c r="E20" s="183">
        <v>5000000</v>
      </c>
      <c r="F20" s="181">
        <f t="shared" si="0"/>
        <v>40000000</v>
      </c>
      <c r="G20" s="252">
        <f>+CO1_MODIFICADA!F20</f>
        <v>5000000</v>
      </c>
      <c r="H20" s="252">
        <f>+'CO3'!F20</f>
        <v>23200000</v>
      </c>
      <c r="I20" s="252">
        <f>+CO4AJUSTADA!G20</f>
        <v>378000</v>
      </c>
      <c r="J20" s="217" t="s">
        <v>560</v>
      </c>
      <c r="K20" s="217">
        <f>672800/4</f>
        <v>168200</v>
      </c>
      <c r="L20" s="217">
        <f t="shared" si="5"/>
        <v>1647949.675113179</v>
      </c>
      <c r="M20" s="217">
        <f t="shared" si="1"/>
        <v>7186550</v>
      </c>
      <c r="N20" s="217">
        <f t="shared" si="2"/>
        <v>13183597.400905432</v>
      </c>
      <c r="O20" s="217">
        <f t="shared" si="3"/>
        <v>57492400</v>
      </c>
      <c r="P20" s="419" t="s">
        <v>614</v>
      </c>
      <c r="Q20" s="419"/>
      <c r="R20" s="188">
        <f>+GEOMEAN(I20:J20)</f>
        <v>378000</v>
      </c>
      <c r="S20" s="188">
        <f t="shared" si="4"/>
        <v>3024000</v>
      </c>
    </row>
    <row r="21" spans="1:19" x14ac:dyDescent="0.2">
      <c r="A21" s="266"/>
      <c r="B21" s="272" t="s">
        <v>256</v>
      </c>
      <c r="C21" s="272"/>
      <c r="D21" s="272"/>
      <c r="E21" s="280"/>
      <c r="F21" s="280"/>
      <c r="G21" s="281">
        <f>+'C01_INICIAL'!F30</f>
        <v>0</v>
      </c>
      <c r="H21" s="281"/>
      <c r="I21" s="281">
        <f>+'CO4'!F30</f>
        <v>0</v>
      </c>
      <c r="J21" s="281"/>
      <c r="K21" s="281"/>
      <c r="L21" s="281"/>
      <c r="M21" s="281">
        <f t="shared" si="1"/>
        <v>0</v>
      </c>
      <c r="N21" s="281">
        <f t="shared" si="2"/>
        <v>0</v>
      </c>
      <c r="O21" s="281">
        <f t="shared" si="3"/>
        <v>0</v>
      </c>
      <c r="P21" s="416"/>
      <c r="Q21" s="416"/>
      <c r="S21" s="188">
        <f t="shared" si="4"/>
        <v>0</v>
      </c>
    </row>
    <row r="22" spans="1:19" x14ac:dyDescent="0.2">
      <c r="A22" s="158">
        <v>1</v>
      </c>
      <c r="B22" s="156" t="s">
        <v>78</v>
      </c>
      <c r="C22" s="151">
        <v>1</v>
      </c>
      <c r="D22" s="159" t="s">
        <v>77</v>
      </c>
      <c r="E22" s="181">
        <v>650000</v>
      </c>
      <c r="F22" s="181">
        <f t="shared" ref="F22:F47" si="6">+E22*C22</f>
        <v>650000</v>
      </c>
      <c r="G22" s="217">
        <f>+CO1_MODIFICADA!F30</f>
        <v>650000</v>
      </c>
      <c r="H22" s="217">
        <f>+'CO3'!F31</f>
        <v>796700</v>
      </c>
      <c r="I22" s="252">
        <f>+CO4AJUSTADA!G22</f>
        <v>65650</v>
      </c>
      <c r="J22" s="217" t="s">
        <v>560</v>
      </c>
      <c r="K22" s="217"/>
      <c r="L22" s="217">
        <f t="shared" si="5"/>
        <v>323952.2256885097</v>
      </c>
      <c r="M22" s="217">
        <f t="shared" si="1"/>
        <v>504116.66666666669</v>
      </c>
      <c r="N22" s="217">
        <f t="shared" si="2"/>
        <v>323952.2256885097</v>
      </c>
      <c r="O22" s="217">
        <f t="shared" si="3"/>
        <v>504116.66666666669</v>
      </c>
      <c r="P22" s="416"/>
      <c r="Q22" s="416"/>
      <c r="R22" s="188">
        <f t="shared" ref="R22:R52" si="7">+GEOMEAN(I22:J22)</f>
        <v>65650</v>
      </c>
      <c r="S22" s="188">
        <f t="shared" si="4"/>
        <v>65650</v>
      </c>
    </row>
    <row r="23" spans="1:19" x14ac:dyDescent="0.2">
      <c r="A23" s="158">
        <f t="shared" ref="A23:A57" si="8">+A22+1</f>
        <v>2</v>
      </c>
      <c r="B23" s="156" t="s">
        <v>79</v>
      </c>
      <c r="C23" s="160">
        <v>5000</v>
      </c>
      <c r="D23" s="159" t="s">
        <v>77</v>
      </c>
      <c r="E23" s="181">
        <v>1300</v>
      </c>
      <c r="F23" s="181">
        <f t="shared" si="6"/>
        <v>6500000</v>
      </c>
      <c r="G23" s="217">
        <f>+CO1_MODIFICADA!F31</f>
        <v>1300</v>
      </c>
      <c r="H23" s="217">
        <f>+'CO3'!F32</f>
        <v>134.6</v>
      </c>
      <c r="I23" s="252">
        <f>+CO4AJUSTADA!G23</f>
        <v>137</v>
      </c>
      <c r="J23" s="217" t="s">
        <v>560</v>
      </c>
      <c r="K23" s="217">
        <f>+'OPTIMA 2015'!F162</f>
        <v>35</v>
      </c>
      <c r="L23" s="217">
        <f t="shared" si="5"/>
        <v>170.1940041051665</v>
      </c>
      <c r="M23" s="217">
        <f t="shared" si="1"/>
        <v>401.65</v>
      </c>
      <c r="N23" s="217">
        <f t="shared" si="2"/>
        <v>850970.02052583254</v>
      </c>
      <c r="O23" s="217">
        <f t="shared" si="3"/>
        <v>2008250</v>
      </c>
      <c r="P23" s="416"/>
      <c r="Q23" s="416"/>
      <c r="R23" s="188">
        <f t="shared" si="7"/>
        <v>137</v>
      </c>
      <c r="S23" s="188">
        <f t="shared" si="4"/>
        <v>685000</v>
      </c>
    </row>
    <row r="24" spans="1:19" x14ac:dyDescent="0.2">
      <c r="A24" s="158">
        <f t="shared" si="8"/>
        <v>3</v>
      </c>
      <c r="B24" s="156" t="s">
        <v>80</v>
      </c>
      <c r="C24" s="151">
        <v>1</v>
      </c>
      <c r="D24" s="159" t="s">
        <v>77</v>
      </c>
      <c r="E24" s="181">
        <v>2100000</v>
      </c>
      <c r="F24" s="181">
        <f t="shared" si="6"/>
        <v>2100000</v>
      </c>
      <c r="G24" s="217">
        <f>+CO1_MODIFICADA!F32</f>
        <v>2100000</v>
      </c>
      <c r="H24" s="217">
        <f>+'CO3'!F33</f>
        <v>1849483</v>
      </c>
      <c r="I24" s="252">
        <f>+CO4AJUSTADA!G24</f>
        <v>814000</v>
      </c>
      <c r="J24" s="252">
        <f>+((1084686*1.94))</f>
        <v>2104290.84</v>
      </c>
      <c r="K24" s="217" t="s">
        <v>560</v>
      </c>
      <c r="L24" s="217">
        <f t="shared" si="5"/>
        <v>1606016.3120191414</v>
      </c>
      <c r="M24" s="217">
        <f t="shared" si="1"/>
        <v>1716943.46</v>
      </c>
      <c r="N24" s="217">
        <f t="shared" si="2"/>
        <v>1606016.3120191414</v>
      </c>
      <c r="O24" s="217">
        <f t="shared" si="3"/>
        <v>1716943.46</v>
      </c>
      <c r="P24" s="416" t="s">
        <v>281</v>
      </c>
      <c r="Q24" s="416"/>
      <c r="R24" s="188">
        <f t="shared" si="7"/>
        <v>1308775.2839047657</v>
      </c>
      <c r="S24" s="188">
        <f t="shared" si="4"/>
        <v>1308775.2839047657</v>
      </c>
    </row>
    <row r="25" spans="1:19" x14ac:dyDescent="0.2">
      <c r="A25" s="158">
        <f t="shared" si="8"/>
        <v>4</v>
      </c>
      <c r="B25" s="156" t="s">
        <v>81</v>
      </c>
      <c r="C25" s="151">
        <v>2</v>
      </c>
      <c r="D25" s="159" t="s">
        <v>77</v>
      </c>
      <c r="E25" s="181">
        <v>1500000</v>
      </c>
      <c r="F25" s="181">
        <f t="shared" si="6"/>
        <v>3000000</v>
      </c>
      <c r="G25" s="217">
        <f>+CO1_MODIFICADA!F33</f>
        <v>1500000</v>
      </c>
      <c r="H25" s="217">
        <f>+'CO3'!F34</f>
        <v>1223504</v>
      </c>
      <c r="I25" s="252">
        <f>+CO4AJUSTADA!G25</f>
        <v>570500</v>
      </c>
      <c r="J25" s="252">
        <f>+(1275000*1.036)*1.0677</f>
        <v>1410324.9300000002</v>
      </c>
      <c r="K25" s="217" t="s">
        <v>560</v>
      </c>
      <c r="L25" s="217">
        <f t="shared" si="5"/>
        <v>1102345.8490094447</v>
      </c>
      <c r="M25" s="217">
        <f t="shared" si="1"/>
        <v>1176082.2324999999</v>
      </c>
      <c r="N25" s="217">
        <f t="shared" si="2"/>
        <v>2204691.6980188894</v>
      </c>
      <c r="O25" s="217">
        <f t="shared" si="3"/>
        <v>2352164.4649999999</v>
      </c>
      <c r="P25" s="416" t="s">
        <v>571</v>
      </c>
      <c r="Q25" s="416"/>
      <c r="R25" s="188">
        <f t="shared" si="7"/>
        <v>896989.61675428553</v>
      </c>
      <c r="S25" s="188">
        <f t="shared" si="4"/>
        <v>1793979.2335085711</v>
      </c>
    </row>
    <row r="26" spans="1:19" x14ac:dyDescent="0.2">
      <c r="A26" s="158">
        <f t="shared" si="8"/>
        <v>5</v>
      </c>
      <c r="B26" s="156" t="s">
        <v>82</v>
      </c>
      <c r="C26" s="151">
        <v>1</v>
      </c>
      <c r="D26" s="159" t="s">
        <v>77</v>
      </c>
      <c r="E26" s="181">
        <v>1400000</v>
      </c>
      <c r="F26" s="181">
        <f t="shared" si="6"/>
        <v>1400000</v>
      </c>
      <c r="G26" s="217">
        <f>+CO1_MODIFICADA!F34</f>
        <v>1400000</v>
      </c>
      <c r="H26" s="217">
        <f>+'CO3'!F35</f>
        <v>910514</v>
      </c>
      <c r="I26" s="252">
        <f>+CO4AJUSTADA!G26</f>
        <v>360000</v>
      </c>
      <c r="J26" s="252">
        <f>+((975000)*1.036)*1.0677</f>
        <v>1078483.77</v>
      </c>
      <c r="K26" s="217" t="s">
        <v>560</v>
      </c>
      <c r="L26" s="217">
        <f t="shared" si="5"/>
        <v>838750.31162998558</v>
      </c>
      <c r="M26" s="217">
        <f t="shared" si="1"/>
        <v>937249.4425</v>
      </c>
      <c r="N26" s="217">
        <f t="shared" si="2"/>
        <v>838750.31162998558</v>
      </c>
      <c r="O26" s="217">
        <f t="shared" si="3"/>
        <v>937249.4425</v>
      </c>
      <c r="P26" s="416" t="s">
        <v>571</v>
      </c>
      <c r="Q26" s="416"/>
      <c r="R26" s="188">
        <f t="shared" si="7"/>
        <v>623100.43909469363</v>
      </c>
      <c r="S26" s="188">
        <f t="shared" si="4"/>
        <v>623100.43909469363</v>
      </c>
    </row>
    <row r="27" spans="1:19" x14ac:dyDescent="0.2">
      <c r="A27" s="158">
        <f t="shared" si="8"/>
        <v>6</v>
      </c>
      <c r="B27" s="156" t="s">
        <v>137</v>
      </c>
      <c r="C27" s="151">
        <v>1</v>
      </c>
      <c r="D27" s="159" t="s">
        <v>77</v>
      </c>
      <c r="E27" s="181">
        <v>600000</v>
      </c>
      <c r="F27" s="181">
        <f t="shared" si="6"/>
        <v>600000</v>
      </c>
      <c r="G27" s="217">
        <f>+CO1_MODIFICADA!F35</f>
        <v>600000</v>
      </c>
      <c r="H27" s="217">
        <f>+'CO3'!F36</f>
        <v>1327835</v>
      </c>
      <c r="I27" s="252">
        <f>+CO4AJUSTADA!G27</f>
        <v>328900</v>
      </c>
      <c r="J27" s="217" t="s">
        <v>560</v>
      </c>
      <c r="K27" s="217" t="s">
        <v>560</v>
      </c>
      <c r="L27" s="217">
        <f t="shared" si="5"/>
        <v>639911.24981904088</v>
      </c>
      <c r="M27" s="217">
        <f t="shared" si="1"/>
        <v>752245</v>
      </c>
      <c r="N27" s="217">
        <f t="shared" si="2"/>
        <v>639911.24981904088</v>
      </c>
      <c r="O27" s="217">
        <f t="shared" si="3"/>
        <v>752245</v>
      </c>
      <c r="P27" s="416"/>
      <c r="Q27" s="416"/>
      <c r="R27" s="188">
        <f t="shared" si="7"/>
        <v>328900</v>
      </c>
      <c r="S27" s="188">
        <f t="shared" si="4"/>
        <v>328900</v>
      </c>
    </row>
    <row r="28" spans="1:19" x14ac:dyDescent="0.2">
      <c r="A28" s="158">
        <f t="shared" si="8"/>
        <v>7</v>
      </c>
      <c r="B28" s="156" t="s">
        <v>138</v>
      </c>
      <c r="C28" s="160">
        <v>5000</v>
      </c>
      <c r="D28" s="159" t="s">
        <v>77</v>
      </c>
      <c r="E28" s="184">
        <v>310</v>
      </c>
      <c r="F28" s="181">
        <f t="shared" si="6"/>
        <v>1550000</v>
      </c>
      <c r="G28" s="217">
        <f>+CO1_MODIFICADA!F36</f>
        <v>310</v>
      </c>
      <c r="H28" s="217">
        <f>+'CO3'!F37</f>
        <v>169.36</v>
      </c>
      <c r="I28" s="252">
        <f>+CO4AJUSTADA!G28</f>
        <v>218</v>
      </c>
      <c r="J28" s="217">
        <f>(133*1.0677)*1.036</f>
        <v>147.11624760000004</v>
      </c>
      <c r="K28" s="217">
        <f>+'OPTIMA 2015'!F167</f>
        <v>110</v>
      </c>
      <c r="L28" s="217">
        <f t="shared" si="5"/>
        <v>179.28191040656802</v>
      </c>
      <c r="M28" s="217">
        <f t="shared" si="1"/>
        <v>190.89524952000002</v>
      </c>
      <c r="N28" s="217">
        <f t="shared" si="2"/>
        <v>896409.55203284009</v>
      </c>
      <c r="O28" s="217">
        <f t="shared" si="3"/>
        <v>954476.24760000012</v>
      </c>
      <c r="P28" s="416" t="s">
        <v>576</v>
      </c>
      <c r="Q28" s="416"/>
      <c r="R28" s="188">
        <f t="shared" si="7"/>
        <v>179.08473406965769</v>
      </c>
      <c r="S28" s="188">
        <f t="shared" si="4"/>
        <v>895423.67034828837</v>
      </c>
    </row>
    <row r="29" spans="1:19" x14ac:dyDescent="0.2">
      <c r="A29" s="158">
        <f t="shared" si="8"/>
        <v>8</v>
      </c>
      <c r="B29" s="156" t="s">
        <v>139</v>
      </c>
      <c r="C29" s="151">
        <v>1</v>
      </c>
      <c r="D29" s="159" t="s">
        <v>77</v>
      </c>
      <c r="E29" s="181">
        <v>900000</v>
      </c>
      <c r="F29" s="181">
        <f t="shared" si="6"/>
        <v>900000</v>
      </c>
      <c r="G29" s="217">
        <f>+CO1_MODIFICADA!F37</f>
        <v>900000</v>
      </c>
      <c r="H29" s="217">
        <f>+'CO3'!F38</f>
        <v>1991753</v>
      </c>
      <c r="I29" s="252">
        <f>+CO4AJUSTADA!G29</f>
        <v>575900</v>
      </c>
      <c r="J29" s="217" t="s">
        <v>560</v>
      </c>
      <c r="K29" s="217" t="s">
        <v>560</v>
      </c>
      <c r="L29" s="217">
        <f t="shared" si="5"/>
        <v>1010667.6295046489</v>
      </c>
      <c r="M29" s="217">
        <f t="shared" si="1"/>
        <v>1155884.3333333333</v>
      </c>
      <c r="N29" s="217">
        <f t="shared" si="2"/>
        <v>1010667.6295046489</v>
      </c>
      <c r="O29" s="217">
        <f t="shared" si="3"/>
        <v>1155884.3333333333</v>
      </c>
      <c r="P29" s="416"/>
      <c r="Q29" s="416"/>
      <c r="R29" s="188">
        <f t="shared" si="7"/>
        <v>575900</v>
      </c>
      <c r="S29" s="188">
        <f t="shared" si="4"/>
        <v>575900</v>
      </c>
    </row>
    <row r="30" spans="1:19" x14ac:dyDescent="0.2">
      <c r="A30" s="158">
        <f t="shared" si="8"/>
        <v>9</v>
      </c>
      <c r="B30" s="156" t="s">
        <v>303</v>
      </c>
      <c r="C30" s="160">
        <v>10000</v>
      </c>
      <c r="D30" s="159" t="s">
        <v>77</v>
      </c>
      <c r="E30" s="184">
        <v>360</v>
      </c>
      <c r="F30" s="181">
        <f t="shared" si="6"/>
        <v>3600000</v>
      </c>
      <c r="G30" s="217">
        <f>+CO1_MODIFICADA!F38</f>
        <v>360</v>
      </c>
      <c r="H30" s="217">
        <f>+'CO3'!F39</f>
        <v>563.76</v>
      </c>
      <c r="I30" s="252">
        <f>+CO4AJUSTADA!G30</f>
        <v>267</v>
      </c>
      <c r="J30" s="252">
        <f>280*1.0677</f>
        <v>298.95600000000002</v>
      </c>
      <c r="K30" s="217">
        <f>+'OPTIMA 2015'!F169</f>
        <v>200</v>
      </c>
      <c r="L30" s="217">
        <f t="shared" si="5"/>
        <v>317.76719331015477</v>
      </c>
      <c r="M30" s="217">
        <f t="shared" si="1"/>
        <v>337.94319999999999</v>
      </c>
      <c r="N30" s="217">
        <f t="shared" si="2"/>
        <v>3177671.9331015479</v>
      </c>
      <c r="O30" s="217">
        <f t="shared" si="3"/>
        <v>3379432</v>
      </c>
      <c r="P30" s="416" t="s">
        <v>285</v>
      </c>
      <c r="Q30" s="416"/>
      <c r="R30" s="188">
        <f t="shared" si="7"/>
        <v>282.52655096468368</v>
      </c>
      <c r="S30" s="188">
        <f t="shared" si="4"/>
        <v>2825265.5096468367</v>
      </c>
    </row>
    <row r="31" spans="1:19" x14ac:dyDescent="0.2">
      <c r="A31" s="158">
        <f t="shared" si="8"/>
        <v>10</v>
      </c>
      <c r="B31" s="156" t="s">
        <v>304</v>
      </c>
      <c r="C31" s="151">
        <v>1</v>
      </c>
      <c r="D31" s="159" t="s">
        <v>77</v>
      </c>
      <c r="E31" s="181">
        <v>1200000</v>
      </c>
      <c r="F31" s="181">
        <f t="shared" si="6"/>
        <v>1200000</v>
      </c>
      <c r="G31" s="217">
        <f>+CO1_MODIFICADA!F39</f>
        <v>1200000</v>
      </c>
      <c r="H31" s="217">
        <f>+'CO3'!F40</f>
        <v>2655671</v>
      </c>
      <c r="I31" s="252">
        <f>+CO4AJUSTADA!G31</f>
        <v>850000</v>
      </c>
      <c r="J31" s="217">
        <v>300</v>
      </c>
      <c r="K31" s="217" t="s">
        <v>560</v>
      </c>
      <c r="L31" s="217">
        <f t="shared" si="5"/>
        <v>168839.4483043463</v>
      </c>
      <c r="M31" s="217">
        <f t="shared" si="1"/>
        <v>1176492.75</v>
      </c>
      <c r="N31" s="217">
        <f t="shared" si="2"/>
        <v>168839.4483043463</v>
      </c>
      <c r="O31" s="217">
        <f t="shared" si="3"/>
        <v>1176492.75</v>
      </c>
      <c r="P31" s="416" t="s">
        <v>585</v>
      </c>
      <c r="Q31" s="416"/>
      <c r="R31" s="188">
        <f t="shared" si="7"/>
        <v>15968.719422671313</v>
      </c>
      <c r="S31" s="188">
        <f t="shared" si="4"/>
        <v>15968.719422671313</v>
      </c>
    </row>
    <row r="32" spans="1:19" x14ac:dyDescent="0.2">
      <c r="A32" s="158">
        <f t="shared" si="8"/>
        <v>11</v>
      </c>
      <c r="B32" s="156" t="s">
        <v>142</v>
      </c>
      <c r="C32" s="160">
        <v>5000</v>
      </c>
      <c r="D32" s="159" t="s">
        <v>77</v>
      </c>
      <c r="E32" s="184">
        <v>360</v>
      </c>
      <c r="F32" s="181">
        <f t="shared" si="6"/>
        <v>1800000</v>
      </c>
      <c r="G32" s="217">
        <f>+CO1_MODIFICADA!F40</f>
        <v>360</v>
      </c>
      <c r="H32" s="217">
        <f>+'CO3'!F41</f>
        <v>350.32</v>
      </c>
      <c r="I32" s="252">
        <f>+CO4AJUSTADA!G32</f>
        <v>270</v>
      </c>
      <c r="J32" s="217" t="s">
        <v>560</v>
      </c>
      <c r="K32" s="217">
        <f>+'OPTIMA 2015'!F171</f>
        <v>275</v>
      </c>
      <c r="L32" s="217">
        <f t="shared" si="5"/>
        <v>311.07561810364228</v>
      </c>
      <c r="M32" s="217">
        <f t="shared" si="1"/>
        <v>313.83</v>
      </c>
      <c r="N32" s="217">
        <f t="shared" si="2"/>
        <v>1555378.0905182115</v>
      </c>
      <c r="O32" s="217">
        <f t="shared" si="3"/>
        <v>1569150</v>
      </c>
      <c r="P32" s="416"/>
      <c r="Q32" s="416"/>
      <c r="R32" s="188">
        <f t="shared" si="7"/>
        <v>270</v>
      </c>
      <c r="S32" s="188">
        <f t="shared" si="4"/>
        <v>1350000</v>
      </c>
    </row>
    <row r="33" spans="1:19" x14ac:dyDescent="0.2">
      <c r="A33" s="158">
        <f t="shared" si="8"/>
        <v>12</v>
      </c>
      <c r="B33" s="156" t="s">
        <v>133</v>
      </c>
      <c r="C33" s="160">
        <v>12500</v>
      </c>
      <c r="D33" s="159" t="s">
        <v>77</v>
      </c>
      <c r="E33" s="181">
        <v>3500</v>
      </c>
      <c r="F33" s="181">
        <f t="shared" si="6"/>
        <v>43750000</v>
      </c>
      <c r="G33" s="217">
        <f>+CO1_MODIFICADA!F41</f>
        <v>3500</v>
      </c>
      <c r="H33" s="217">
        <f>+'CO3'!F42</f>
        <v>1102</v>
      </c>
      <c r="I33" s="252">
        <f>+CO4AJUSTADA!G33</f>
        <v>1160</v>
      </c>
      <c r="J33" s="217">
        <f>1150*1.0677</f>
        <v>1227.855</v>
      </c>
      <c r="K33" s="217">
        <f>+'OPTIMA 2015'!F176</f>
        <v>3500</v>
      </c>
      <c r="L33" s="217">
        <f t="shared" si="5"/>
        <v>1806.2778283942844</v>
      </c>
      <c r="M33" s="217">
        <f t="shared" si="1"/>
        <v>2097.971</v>
      </c>
      <c r="N33" s="217">
        <f t="shared" si="2"/>
        <v>22578472.854928553</v>
      </c>
      <c r="O33" s="217">
        <f t="shared" si="3"/>
        <v>26224637.5</v>
      </c>
      <c r="P33" s="416" t="s">
        <v>289</v>
      </c>
      <c r="Q33" s="416"/>
      <c r="R33" s="188">
        <f t="shared" si="7"/>
        <v>1193.4453485602096</v>
      </c>
      <c r="S33" s="188">
        <f t="shared" si="4"/>
        <v>14918066.85700262</v>
      </c>
    </row>
    <row r="34" spans="1:19" ht="13.5" customHeight="1" x14ac:dyDescent="0.2">
      <c r="A34" s="158">
        <f t="shared" si="8"/>
        <v>13</v>
      </c>
      <c r="B34" s="156" t="s">
        <v>188</v>
      </c>
      <c r="C34" s="160">
        <v>100</v>
      </c>
      <c r="D34" s="159" t="s">
        <v>77</v>
      </c>
      <c r="E34" s="181">
        <v>1800</v>
      </c>
      <c r="F34" s="181">
        <f t="shared" si="6"/>
        <v>180000</v>
      </c>
      <c r="G34" s="217">
        <f>+CO1_MODIFICADA!F42</f>
        <v>1800</v>
      </c>
      <c r="H34" s="217">
        <f>+'CO3'!F43</f>
        <v>643886</v>
      </c>
      <c r="I34" s="252">
        <f>+CO4AJUSTADA!G34</f>
        <v>147500</v>
      </c>
      <c r="J34" s="252">
        <f>(3000*1.036)*1.0677</f>
        <v>3318.4116000000004</v>
      </c>
      <c r="K34" s="217" t="s">
        <v>560</v>
      </c>
      <c r="L34" s="217">
        <f t="shared" si="5"/>
        <v>27444.223037444244</v>
      </c>
      <c r="M34" s="217">
        <f t="shared" si="1"/>
        <v>199126.1029</v>
      </c>
      <c r="N34" s="217">
        <f t="shared" si="2"/>
        <v>2744422.3037444246</v>
      </c>
      <c r="O34" s="217">
        <f t="shared" si="3"/>
        <v>19912610.289999999</v>
      </c>
      <c r="P34" s="416"/>
      <c r="Q34" s="416"/>
      <c r="R34" s="188">
        <f t="shared" si="7"/>
        <v>22123.871971244094</v>
      </c>
      <c r="S34" s="188">
        <f t="shared" si="4"/>
        <v>2212387.1971244095</v>
      </c>
    </row>
    <row r="35" spans="1:19" x14ac:dyDescent="0.2">
      <c r="A35" s="158">
        <f t="shared" si="8"/>
        <v>14</v>
      </c>
      <c r="B35" s="156" t="s">
        <v>124</v>
      </c>
      <c r="C35" s="160">
        <v>1</v>
      </c>
      <c r="D35" s="159" t="s">
        <v>77</v>
      </c>
      <c r="E35" s="181">
        <v>800000</v>
      </c>
      <c r="F35" s="181">
        <f t="shared" si="6"/>
        <v>800000</v>
      </c>
      <c r="G35" s="217">
        <f>+CO1_MODIFICADA!F43</f>
        <v>800000</v>
      </c>
      <c r="H35" s="217">
        <f>+'CO3'!F44</f>
        <v>368000</v>
      </c>
      <c r="I35" s="252">
        <f>+CO4AJUSTADA!G35</f>
        <v>226900</v>
      </c>
      <c r="J35" s="252">
        <f>2718000*1.0677</f>
        <v>2902008.6</v>
      </c>
      <c r="K35" s="217" t="s">
        <v>560</v>
      </c>
      <c r="L35" s="217">
        <f t="shared" si="5"/>
        <v>663540.97893365391</v>
      </c>
      <c r="M35" s="217">
        <f t="shared" si="1"/>
        <v>1074227.1499999999</v>
      </c>
      <c r="N35" s="217">
        <f t="shared" si="2"/>
        <v>663540.97893365391</v>
      </c>
      <c r="O35" s="217">
        <f t="shared" si="3"/>
        <v>1074227.1499999999</v>
      </c>
      <c r="P35" s="416"/>
      <c r="Q35" s="416"/>
      <c r="R35" s="188">
        <f t="shared" si="7"/>
        <v>811459.02628536953</v>
      </c>
      <c r="S35" s="188">
        <f t="shared" si="4"/>
        <v>811459.02628536953</v>
      </c>
    </row>
    <row r="36" spans="1:19" x14ac:dyDescent="0.2">
      <c r="A36" s="158">
        <f t="shared" si="8"/>
        <v>15</v>
      </c>
      <c r="B36" s="161" t="s">
        <v>125</v>
      </c>
      <c r="C36" s="160">
        <v>215</v>
      </c>
      <c r="D36" s="159" t="s">
        <v>77</v>
      </c>
      <c r="E36" s="181">
        <v>5400</v>
      </c>
      <c r="F36" s="181">
        <f t="shared" si="6"/>
        <v>1161000</v>
      </c>
      <c r="G36" s="217">
        <f>+CO1_MODIFICADA!F44</f>
        <v>5400</v>
      </c>
      <c r="H36" s="217">
        <f>+'CO3'!F45</f>
        <v>13200</v>
      </c>
      <c r="I36" s="252">
        <f>+CO4AJUSTADA!G36</f>
        <v>12700</v>
      </c>
      <c r="J36" s="252">
        <f>16600*1.036</f>
        <v>17197.600000000002</v>
      </c>
      <c r="K36" s="217" t="s">
        <v>560</v>
      </c>
      <c r="L36" s="217">
        <f t="shared" si="5"/>
        <v>11170.170800386435</v>
      </c>
      <c r="M36" s="217">
        <f t="shared" si="1"/>
        <v>12124.400000000001</v>
      </c>
      <c r="N36" s="217">
        <f t="shared" si="2"/>
        <v>2401586.7220830834</v>
      </c>
      <c r="O36" s="217">
        <f t="shared" si="3"/>
        <v>2606746.0000000005</v>
      </c>
      <c r="P36" s="416" t="s">
        <v>292</v>
      </c>
      <c r="Q36" s="416"/>
      <c r="R36" s="188">
        <f t="shared" si="7"/>
        <v>14778.684650536394</v>
      </c>
      <c r="S36" s="188">
        <f t="shared" si="4"/>
        <v>3177417.1998653244</v>
      </c>
    </row>
    <row r="37" spans="1:19" x14ac:dyDescent="0.2">
      <c r="A37" s="158">
        <f t="shared" si="8"/>
        <v>16</v>
      </c>
      <c r="B37" s="161" t="s">
        <v>126</v>
      </c>
      <c r="C37" s="151">
        <v>1</v>
      </c>
      <c r="D37" s="159" t="s">
        <v>77</v>
      </c>
      <c r="E37" s="181">
        <v>775000</v>
      </c>
      <c r="F37" s="181">
        <f t="shared" si="6"/>
        <v>775000</v>
      </c>
      <c r="G37" s="217">
        <f>+CO1_MODIFICADA!F45</f>
        <v>775000</v>
      </c>
      <c r="H37" s="217">
        <f>+'CO3'!F46</f>
        <v>5121648</v>
      </c>
      <c r="I37" s="252">
        <f>+CO4AJUSTADA!G37</f>
        <v>415090</v>
      </c>
      <c r="J37" s="217">
        <f>+'SECOP_ALEJOY CARO'!C28*1.036</f>
        <v>9253.5519999999997</v>
      </c>
      <c r="K37" s="217" t="s">
        <v>560</v>
      </c>
      <c r="L37" s="217">
        <f t="shared" si="5"/>
        <v>351390.92605443625</v>
      </c>
      <c r="M37" s="217">
        <f t="shared" si="1"/>
        <v>1580247.888</v>
      </c>
      <c r="N37" s="217">
        <f t="shared" si="2"/>
        <v>351390.92605443625</v>
      </c>
      <c r="O37" s="217">
        <f t="shared" si="3"/>
        <v>1580247.888</v>
      </c>
      <c r="P37" s="416" t="s">
        <v>623</v>
      </c>
      <c r="Q37" s="416"/>
      <c r="R37" s="188">
        <f t="shared" si="7"/>
        <v>61976.260775235547</v>
      </c>
      <c r="S37" s="188">
        <f t="shared" si="4"/>
        <v>61976.260775235547</v>
      </c>
    </row>
    <row r="38" spans="1:19" x14ac:dyDescent="0.2">
      <c r="A38" s="158">
        <f t="shared" si="8"/>
        <v>17</v>
      </c>
      <c r="B38" s="161" t="s">
        <v>134</v>
      </c>
      <c r="C38" s="160">
        <v>498</v>
      </c>
      <c r="D38" s="159" t="s">
        <v>77</v>
      </c>
      <c r="E38" s="181">
        <v>4000</v>
      </c>
      <c r="F38" s="181">
        <f t="shared" si="6"/>
        <v>1992000</v>
      </c>
      <c r="G38" s="217">
        <f>+CO1_MODIFICADA!F46</f>
        <v>4000</v>
      </c>
      <c r="H38" s="217">
        <f>+'CO3'!F47</f>
        <v>2062.5</v>
      </c>
      <c r="I38" s="252">
        <f>+CO4AJUSTADA!G38</f>
        <v>11050</v>
      </c>
      <c r="J38" s="252">
        <f>+('SECOP_ALEJOY CARO'!C26*1.036)*1.0677</f>
        <v>4678.9603560000005</v>
      </c>
      <c r="K38" s="217" t="s">
        <v>560</v>
      </c>
      <c r="L38" s="217">
        <f t="shared" si="5"/>
        <v>4544.555358142763</v>
      </c>
      <c r="M38" s="217">
        <f t="shared" si="1"/>
        <v>5447.8650889999999</v>
      </c>
      <c r="N38" s="217">
        <f t="shared" si="2"/>
        <v>2263188.568355096</v>
      </c>
      <c r="O38" s="217">
        <f t="shared" si="3"/>
        <v>2713036.8143219999</v>
      </c>
      <c r="P38" s="416" t="s">
        <v>624</v>
      </c>
      <c r="Q38" s="416"/>
      <c r="R38" s="188">
        <f t="shared" si="7"/>
        <v>7190.4458786503637</v>
      </c>
      <c r="S38" s="188">
        <f t="shared" si="4"/>
        <v>3580842.0475678812</v>
      </c>
    </row>
    <row r="39" spans="1:19" x14ac:dyDescent="0.2">
      <c r="A39" s="158">
        <f t="shared" si="8"/>
        <v>18</v>
      </c>
      <c r="B39" s="156" t="s">
        <v>83</v>
      </c>
      <c r="C39" s="151">
        <v>5</v>
      </c>
      <c r="D39" s="159" t="s">
        <v>77</v>
      </c>
      <c r="E39" s="181">
        <v>650000</v>
      </c>
      <c r="F39" s="181">
        <f t="shared" si="6"/>
        <v>3250000</v>
      </c>
      <c r="G39" s="252">
        <f>+CO1_MODIFICADA!F47</f>
        <v>650000</v>
      </c>
      <c r="H39" s="217">
        <f>+'CO3'!F48</f>
        <v>466639</v>
      </c>
      <c r="I39" s="252">
        <f>+CO4AJUSTADA!G39</f>
        <v>355000</v>
      </c>
      <c r="J39" s="217">
        <f>90000*1.036</f>
        <v>93240</v>
      </c>
      <c r="K39" s="217" t="s">
        <v>560</v>
      </c>
      <c r="L39" s="217">
        <f t="shared" si="5"/>
        <v>316541.93425330234</v>
      </c>
      <c r="M39" s="217">
        <f t="shared" si="1"/>
        <v>391219.75</v>
      </c>
      <c r="N39" s="217">
        <f t="shared" si="2"/>
        <v>1582709.6712665118</v>
      </c>
      <c r="O39" s="217">
        <f t="shared" si="3"/>
        <v>1956098.75</v>
      </c>
      <c r="P39" s="416"/>
      <c r="Q39" s="416"/>
      <c r="R39" s="188">
        <f t="shared" si="7"/>
        <v>181934.60363548217</v>
      </c>
      <c r="S39" s="188">
        <f t="shared" si="4"/>
        <v>909673.01817741082</v>
      </c>
    </row>
    <row r="40" spans="1:19" x14ac:dyDescent="0.2">
      <c r="A40" s="158">
        <f t="shared" si="8"/>
        <v>19</v>
      </c>
      <c r="B40" s="156" t="s">
        <v>135</v>
      </c>
      <c r="C40" s="148">
        <v>5</v>
      </c>
      <c r="D40" s="159" t="s">
        <v>77</v>
      </c>
      <c r="E40" s="181">
        <v>290000</v>
      </c>
      <c r="F40" s="181">
        <f t="shared" si="6"/>
        <v>1450000</v>
      </c>
      <c r="G40" s="252">
        <f>+CO1_MODIFICADA!F48</f>
        <v>290000</v>
      </c>
      <c r="H40" s="217">
        <f>+'CO3'!F49</f>
        <v>191400</v>
      </c>
      <c r="I40" s="252">
        <f>+CO4AJUSTADA!G40</f>
        <v>252000</v>
      </c>
      <c r="J40" s="217">
        <f>218050*1.0677</f>
        <v>232811.98500000002</v>
      </c>
      <c r="K40" s="217">
        <f>+'OPTIMA 2015'!F192</f>
        <v>100000</v>
      </c>
      <c r="L40" s="217">
        <f t="shared" si="5"/>
        <v>200700.82660385201</v>
      </c>
      <c r="M40" s="217">
        <f t="shared" si="1"/>
        <v>213242.39699999997</v>
      </c>
      <c r="N40" s="217">
        <f t="shared" si="2"/>
        <v>1003504.13301926</v>
      </c>
      <c r="O40" s="217">
        <f t="shared" si="3"/>
        <v>1066211.9849999999</v>
      </c>
      <c r="P40" s="416"/>
      <c r="Q40" s="416"/>
      <c r="R40" s="188">
        <f t="shared" si="7"/>
        <v>242216.06102816551</v>
      </c>
      <c r="S40" s="188">
        <f t="shared" si="4"/>
        <v>1211080.3051408275</v>
      </c>
    </row>
    <row r="41" spans="1:19" x14ac:dyDescent="0.2">
      <c r="A41" s="158">
        <f t="shared" si="8"/>
        <v>20</v>
      </c>
      <c r="B41" s="156" t="s">
        <v>84</v>
      </c>
      <c r="C41" s="151">
        <v>1</v>
      </c>
      <c r="D41" s="159" t="s">
        <v>77</v>
      </c>
      <c r="E41" s="181">
        <v>650000</v>
      </c>
      <c r="F41" s="181">
        <f t="shared" si="6"/>
        <v>650000</v>
      </c>
      <c r="G41" s="252">
        <f>+CO1_MODIFICADA!F49</f>
        <v>650000</v>
      </c>
      <c r="H41" s="217">
        <f>+'CO3'!F50</f>
        <v>466639</v>
      </c>
      <c r="I41" s="252">
        <f>+CO4AJUSTADA!G41</f>
        <v>161995</v>
      </c>
      <c r="J41" s="217">
        <f>138829*1.6077</f>
        <v>223195.38329999999</v>
      </c>
      <c r="K41" s="217" t="s">
        <v>560</v>
      </c>
      <c r="L41" s="217">
        <f t="shared" si="5"/>
        <v>323608.78410594043</v>
      </c>
      <c r="M41" s="217">
        <f t="shared" si="1"/>
        <v>375457.34582499997</v>
      </c>
      <c r="N41" s="217">
        <f t="shared" si="2"/>
        <v>323608.78410594043</v>
      </c>
      <c r="O41" s="217">
        <f t="shared" si="3"/>
        <v>375457.34582499997</v>
      </c>
      <c r="P41" s="416"/>
      <c r="Q41" s="416"/>
      <c r="R41" s="188">
        <f t="shared" si="7"/>
        <v>190148.72105192687</v>
      </c>
      <c r="S41" s="188">
        <f t="shared" si="4"/>
        <v>190148.72105192687</v>
      </c>
    </row>
    <row r="42" spans="1:19" x14ac:dyDescent="0.2">
      <c r="A42" s="158">
        <f t="shared" si="8"/>
        <v>21</v>
      </c>
      <c r="B42" s="156" t="s">
        <v>85</v>
      </c>
      <c r="C42" s="151">
        <v>1</v>
      </c>
      <c r="D42" s="159" t="s">
        <v>77</v>
      </c>
      <c r="E42" s="181">
        <v>390000</v>
      </c>
      <c r="F42" s="181">
        <f t="shared" si="6"/>
        <v>390000</v>
      </c>
      <c r="G42" s="252">
        <f>+CO1_MODIFICADA!F50</f>
        <v>390000</v>
      </c>
      <c r="H42" s="217">
        <f>+'CO3'!F51</f>
        <v>425000</v>
      </c>
      <c r="I42" s="252">
        <f>+CO4AJUSTADA!G42</f>
        <v>973000</v>
      </c>
      <c r="J42" s="217">
        <f>285000*1.035</f>
        <v>294975</v>
      </c>
      <c r="K42" s="217">
        <f>+'OPTIMA 2015'!F194</f>
        <v>150000</v>
      </c>
      <c r="L42" s="217">
        <f t="shared" si="5"/>
        <v>372124.76144090918</v>
      </c>
      <c r="M42" s="217">
        <f t="shared" si="1"/>
        <v>446595</v>
      </c>
      <c r="N42" s="217">
        <f t="shared" si="2"/>
        <v>372124.76144090918</v>
      </c>
      <c r="O42" s="217">
        <f t="shared" si="3"/>
        <v>446595</v>
      </c>
      <c r="P42" s="416"/>
      <c r="Q42" s="416"/>
      <c r="R42" s="188">
        <f t="shared" si="7"/>
        <v>535733.77250272362</v>
      </c>
      <c r="S42" s="188">
        <f t="shared" si="4"/>
        <v>535733.77250272362</v>
      </c>
    </row>
    <row r="43" spans="1:19" x14ac:dyDescent="0.2">
      <c r="A43" s="158">
        <f t="shared" si="8"/>
        <v>22</v>
      </c>
      <c r="B43" s="156" t="s">
        <v>86</v>
      </c>
      <c r="C43" s="151">
        <v>2</v>
      </c>
      <c r="D43" s="159" t="s">
        <v>77</v>
      </c>
      <c r="E43" s="181">
        <v>730000</v>
      </c>
      <c r="F43" s="181">
        <f t="shared" si="6"/>
        <v>1460000</v>
      </c>
      <c r="G43" s="252">
        <f>+CO1_MODIFICADA!F51</f>
        <v>730000</v>
      </c>
      <c r="H43" s="217">
        <f>+'CO3'!F52</f>
        <v>466639</v>
      </c>
      <c r="I43" s="252">
        <f>+CO4AJUSTADA!G43</f>
        <v>511980</v>
      </c>
      <c r="J43" s="217">
        <f>108205*1.036</f>
        <v>112100.38</v>
      </c>
      <c r="K43" s="217" t="s">
        <v>560</v>
      </c>
      <c r="L43" s="217">
        <f t="shared" si="5"/>
        <v>373930.58882799954</v>
      </c>
      <c r="M43" s="217">
        <f t="shared" si="1"/>
        <v>455179.84499999997</v>
      </c>
      <c r="N43" s="217">
        <f t="shared" si="2"/>
        <v>747861.17765599908</v>
      </c>
      <c r="O43" s="217">
        <f t="shared" si="3"/>
        <v>910359.69</v>
      </c>
      <c r="P43" s="416"/>
      <c r="Q43" s="416"/>
      <c r="R43" s="188">
        <f t="shared" si="7"/>
        <v>239568.68024096973</v>
      </c>
      <c r="S43" s="188">
        <f t="shared" si="4"/>
        <v>479137.36048193945</v>
      </c>
    </row>
    <row r="44" spans="1:19" x14ac:dyDescent="0.2">
      <c r="A44" s="158">
        <f t="shared" si="8"/>
        <v>23</v>
      </c>
      <c r="B44" s="156" t="s">
        <v>87</v>
      </c>
      <c r="C44" s="151">
        <v>1</v>
      </c>
      <c r="D44" s="159" t="s">
        <v>77</v>
      </c>
      <c r="E44" s="181">
        <v>280000</v>
      </c>
      <c r="F44" s="181">
        <f t="shared" si="6"/>
        <v>280000</v>
      </c>
      <c r="G44" s="217">
        <f>+CO1_MODIFICADA!F52</f>
        <v>280000</v>
      </c>
      <c r="H44" s="217">
        <f>+'CO3'!F53</f>
        <v>87000</v>
      </c>
      <c r="I44" s="252">
        <f>+CO4AJUSTADA!G44</f>
        <v>1540000</v>
      </c>
      <c r="J44" s="217">
        <f>285000*1.0677</f>
        <v>304294.5</v>
      </c>
      <c r="K44" s="217">
        <f>+'OPTIMA 2015'!F196</f>
        <v>250000</v>
      </c>
      <c r="L44" s="217">
        <f t="shared" si="5"/>
        <v>309803.57372784871</v>
      </c>
      <c r="M44" s="217">
        <f t="shared" si="1"/>
        <v>492258.9</v>
      </c>
      <c r="N44" s="217">
        <f t="shared" si="2"/>
        <v>309803.57372784871</v>
      </c>
      <c r="O44" s="217">
        <f t="shared" ref="O44:O71" si="9">+M44*C44</f>
        <v>492258.9</v>
      </c>
      <c r="P44" s="416"/>
      <c r="Q44" s="416"/>
      <c r="R44" s="188">
        <f t="shared" si="7"/>
        <v>684553.52602992265</v>
      </c>
      <c r="S44" s="188">
        <f t="shared" si="4"/>
        <v>684553.52602992265</v>
      </c>
    </row>
    <row r="45" spans="1:19" x14ac:dyDescent="0.2">
      <c r="A45" s="158">
        <f t="shared" si="8"/>
        <v>24</v>
      </c>
      <c r="B45" s="156" t="s">
        <v>88</v>
      </c>
      <c r="C45" s="151">
        <v>1</v>
      </c>
      <c r="D45" s="159" t="s">
        <v>77</v>
      </c>
      <c r="E45" s="181">
        <v>730000</v>
      </c>
      <c r="F45" s="181">
        <f t="shared" si="6"/>
        <v>730000</v>
      </c>
      <c r="G45" s="217">
        <f>+CO1_MODIFICADA!F53</f>
        <v>730000</v>
      </c>
      <c r="H45" s="217">
        <f>+'CO3'!F54</f>
        <v>466639</v>
      </c>
      <c r="I45" s="252">
        <f>+CO4AJUSTADA!G45</f>
        <v>511980</v>
      </c>
      <c r="J45" s="217">
        <v>1105000</v>
      </c>
      <c r="K45" s="217" t="s">
        <v>560</v>
      </c>
      <c r="L45" s="217">
        <f t="shared" si="5"/>
        <v>662566.98509968724</v>
      </c>
      <c r="M45" s="217">
        <f t="shared" si="1"/>
        <v>703404.75</v>
      </c>
      <c r="N45" s="217">
        <f t="shared" si="2"/>
        <v>662566.98509968724</v>
      </c>
      <c r="O45" s="217">
        <f t="shared" si="9"/>
        <v>703404.75</v>
      </c>
      <c r="P45" s="416"/>
      <c r="Q45" s="416"/>
      <c r="R45" s="188">
        <f t="shared" si="7"/>
        <v>752155.50253920234</v>
      </c>
      <c r="S45" s="188">
        <f t="shared" si="4"/>
        <v>752155.50253920234</v>
      </c>
    </row>
    <row r="46" spans="1:19" x14ac:dyDescent="0.2">
      <c r="A46" s="158">
        <f t="shared" si="8"/>
        <v>25</v>
      </c>
      <c r="B46" s="156" t="s">
        <v>89</v>
      </c>
      <c r="C46" s="151">
        <v>2</v>
      </c>
      <c r="D46" s="159" t="s">
        <v>77</v>
      </c>
      <c r="E46" s="181">
        <v>540000</v>
      </c>
      <c r="F46" s="181">
        <f t="shared" si="6"/>
        <v>1080000</v>
      </c>
      <c r="G46" s="217">
        <f>+CO1_MODIFICADA!F54</f>
        <v>540000</v>
      </c>
      <c r="H46" s="217">
        <f>+'CO3'!F55</f>
        <v>174000</v>
      </c>
      <c r="I46" s="252">
        <f>+CO4AJUSTADA!G46</f>
        <v>1750000</v>
      </c>
      <c r="J46" s="217">
        <f>+J45</f>
        <v>1105000</v>
      </c>
      <c r="K46" s="217">
        <f>+'OPTIMA 2015'!F198</f>
        <v>400000</v>
      </c>
      <c r="L46" s="217">
        <f t="shared" si="5"/>
        <v>591944.05773525406</v>
      </c>
      <c r="M46" s="217">
        <f t="shared" si="1"/>
        <v>793800</v>
      </c>
      <c r="N46" s="217">
        <f t="shared" si="2"/>
        <v>1183888.1154705081</v>
      </c>
      <c r="O46" s="217">
        <f t="shared" si="9"/>
        <v>1587600</v>
      </c>
      <c r="P46" s="416"/>
      <c r="Q46" s="416"/>
      <c r="R46" s="188">
        <f t="shared" si="7"/>
        <v>1390593.3985173379</v>
      </c>
      <c r="S46" s="188">
        <f t="shared" si="4"/>
        <v>2781186.7970346757</v>
      </c>
    </row>
    <row r="47" spans="1:19" x14ac:dyDescent="0.2">
      <c r="A47" s="158">
        <f>+A46+1</f>
        <v>26</v>
      </c>
      <c r="B47" s="156" t="s">
        <v>90</v>
      </c>
      <c r="C47" s="151">
        <v>1</v>
      </c>
      <c r="D47" s="159" t="s">
        <v>77</v>
      </c>
      <c r="E47" s="181">
        <v>790000</v>
      </c>
      <c r="F47" s="181">
        <f t="shared" si="6"/>
        <v>790000</v>
      </c>
      <c r="G47" s="217">
        <f>+CO1_MODIFICADA!F55</f>
        <v>790000</v>
      </c>
      <c r="H47" s="217">
        <f>+'CO3'!F56</f>
        <v>1079340</v>
      </c>
      <c r="I47" s="252">
        <f>+CO4AJUSTADA!G47</f>
        <v>675780</v>
      </c>
      <c r="J47" s="217">
        <f>291949*1.0677</f>
        <v>311713.9473</v>
      </c>
      <c r="K47" s="217" t="s">
        <v>560</v>
      </c>
      <c r="L47" s="217">
        <f t="shared" si="5"/>
        <v>651008.61112671462</v>
      </c>
      <c r="M47" s="217">
        <f t="shared" si="1"/>
        <v>714208.48682500003</v>
      </c>
      <c r="N47" s="217">
        <f t="shared" si="2"/>
        <v>651008.61112671462</v>
      </c>
      <c r="O47" s="217">
        <f t="shared" si="9"/>
        <v>714208.48682500003</v>
      </c>
      <c r="P47" s="416"/>
      <c r="Q47" s="416"/>
      <c r="R47" s="188">
        <f t="shared" si="7"/>
        <v>458966.28558794386</v>
      </c>
      <c r="S47" s="188">
        <f t="shared" si="4"/>
        <v>458966.28558794386</v>
      </c>
    </row>
    <row r="48" spans="1:19" x14ac:dyDescent="0.2">
      <c r="A48" s="158">
        <f t="shared" si="8"/>
        <v>27</v>
      </c>
      <c r="B48" s="156" t="s">
        <v>91</v>
      </c>
      <c r="C48" s="151">
        <v>1</v>
      </c>
      <c r="D48" s="159" t="s">
        <v>77</v>
      </c>
      <c r="E48" s="181" t="s">
        <v>190</v>
      </c>
      <c r="F48" s="181" t="s">
        <v>190</v>
      </c>
      <c r="G48" s="217" t="str">
        <f>+CO1_MODIFICADA!F56</f>
        <v>N/A</v>
      </c>
      <c r="H48" s="217">
        <f>+'CO3'!F57</f>
        <v>261000</v>
      </c>
      <c r="I48" s="252">
        <f>+CO4AJUSTADA!G48</f>
        <v>2380000</v>
      </c>
      <c r="J48" s="217">
        <f>(540000*1.036)*1.0677</f>
        <v>597314.08800000011</v>
      </c>
      <c r="K48" s="217">
        <f>+'OPTIMA 2015'!F200</f>
        <v>450000</v>
      </c>
      <c r="L48" s="217">
        <f t="shared" si="5"/>
        <v>639231.52365112561</v>
      </c>
      <c r="M48" s="217">
        <f t="shared" si="1"/>
        <v>922078.522</v>
      </c>
      <c r="N48" s="217">
        <f t="shared" si="2"/>
        <v>639231.52365112561</v>
      </c>
      <c r="O48" s="217">
        <f t="shared" si="9"/>
        <v>922078.522</v>
      </c>
      <c r="P48" s="416"/>
      <c r="Q48" s="416"/>
      <c r="R48" s="188">
        <f t="shared" si="7"/>
        <v>1192311.8423633978</v>
      </c>
      <c r="S48" s="188">
        <f t="shared" si="4"/>
        <v>1192311.8423633978</v>
      </c>
    </row>
    <row r="49" spans="1:19" x14ac:dyDescent="0.2">
      <c r="A49" s="158">
        <f t="shared" si="8"/>
        <v>28</v>
      </c>
      <c r="B49" s="156" t="s">
        <v>92</v>
      </c>
      <c r="C49" s="151">
        <v>1</v>
      </c>
      <c r="D49" s="159" t="s">
        <v>77</v>
      </c>
      <c r="E49" s="181">
        <v>920000</v>
      </c>
      <c r="F49" s="181">
        <f>+E49*C49</f>
        <v>920000</v>
      </c>
      <c r="G49" s="217">
        <f>+CO1_MODIFICADA!F57</f>
        <v>920000</v>
      </c>
      <c r="H49" s="217">
        <f>+'CO3'!F58</f>
        <v>1079340</v>
      </c>
      <c r="I49" s="252">
        <f>+CO4AJUSTADA!G49</f>
        <v>675780</v>
      </c>
      <c r="J49" s="217">
        <f>(939600*1.036)*1.0677</f>
        <v>1039326.51312</v>
      </c>
      <c r="K49" s="217" t="s">
        <v>560</v>
      </c>
      <c r="L49" s="217">
        <f t="shared" si="5"/>
        <v>913851.98615364125</v>
      </c>
      <c r="M49" s="217">
        <f t="shared" si="1"/>
        <v>928611.62828000006</v>
      </c>
      <c r="N49" s="217">
        <f t="shared" si="2"/>
        <v>913851.98615364125</v>
      </c>
      <c r="O49" s="217">
        <f t="shared" si="9"/>
        <v>928611.62828000006</v>
      </c>
      <c r="P49" s="416"/>
      <c r="Q49" s="416"/>
      <c r="R49" s="188">
        <f t="shared" si="7"/>
        <v>838066.86549238639</v>
      </c>
      <c r="S49" s="188">
        <f t="shared" si="4"/>
        <v>838066.86549238639</v>
      </c>
    </row>
    <row r="50" spans="1:19" x14ac:dyDescent="0.2">
      <c r="A50" s="158">
        <f t="shared" si="8"/>
        <v>29</v>
      </c>
      <c r="B50" s="156" t="s">
        <v>93</v>
      </c>
      <c r="C50" s="151">
        <v>1</v>
      </c>
      <c r="D50" s="159" t="s">
        <v>77</v>
      </c>
      <c r="E50" s="181" t="s">
        <v>190</v>
      </c>
      <c r="F50" s="181" t="s">
        <v>190</v>
      </c>
      <c r="G50" s="217" t="str">
        <f>+CO1_MODIFICADA!F58</f>
        <v>N/A</v>
      </c>
      <c r="H50" s="217">
        <f>+'CO3'!F59</f>
        <v>174000</v>
      </c>
      <c r="I50" s="252">
        <f>+CO4AJUSTADA!G50</f>
        <v>4480000</v>
      </c>
      <c r="J50" s="217">
        <f>(540000*1.036)*1.0677</f>
        <v>597314.08800000011</v>
      </c>
      <c r="K50" s="217">
        <f>+'OPTIMA 2015'!F202</f>
        <v>500000</v>
      </c>
      <c r="L50" s="217">
        <f t="shared" si="5"/>
        <v>694624.35438858555</v>
      </c>
      <c r="M50" s="217">
        <f t="shared" si="1"/>
        <v>1437828.5220000001</v>
      </c>
      <c r="N50" s="217">
        <f t="shared" si="2"/>
        <v>694624.35438858555</v>
      </c>
      <c r="O50" s="217">
        <f t="shared" si="9"/>
        <v>1437828.5220000001</v>
      </c>
      <c r="P50" s="416"/>
      <c r="Q50" s="416"/>
      <c r="R50" s="188">
        <f t="shared" si="7"/>
        <v>1635838.3521118462</v>
      </c>
      <c r="S50" s="188">
        <f t="shared" si="4"/>
        <v>1635838.3521118462</v>
      </c>
    </row>
    <row r="51" spans="1:19" x14ac:dyDescent="0.2">
      <c r="A51" s="158">
        <f t="shared" si="8"/>
        <v>30</v>
      </c>
      <c r="B51" s="156" t="s">
        <v>94</v>
      </c>
      <c r="C51" s="151">
        <v>2</v>
      </c>
      <c r="D51" s="159" t="s">
        <v>77</v>
      </c>
      <c r="E51" s="181">
        <v>920000</v>
      </c>
      <c r="F51" s="181">
        <f>+E51*C51</f>
        <v>1840000</v>
      </c>
      <c r="G51" s="217">
        <f>+CO1_MODIFICADA!F59</f>
        <v>920000</v>
      </c>
      <c r="H51" s="217">
        <f>+'CO3'!F60</f>
        <v>1079340</v>
      </c>
      <c r="I51" s="252">
        <f>+CO4AJUSTADA!G51</f>
        <v>675780</v>
      </c>
      <c r="J51" s="217">
        <f>600000*1.036</f>
        <v>621600</v>
      </c>
      <c r="K51" s="217" t="s">
        <v>560</v>
      </c>
      <c r="L51" s="217">
        <f t="shared" si="5"/>
        <v>803647.52205477213</v>
      </c>
      <c r="M51" s="217">
        <f t="shared" si="1"/>
        <v>824180</v>
      </c>
      <c r="N51" s="217">
        <f t="shared" si="2"/>
        <v>1607295.0441095443</v>
      </c>
      <c r="O51" s="217">
        <f t="shared" si="9"/>
        <v>1648360</v>
      </c>
      <c r="P51" s="416"/>
      <c r="Q51" s="416"/>
      <c r="R51" s="188">
        <f t="shared" si="7"/>
        <v>648124.09922791796</v>
      </c>
      <c r="S51" s="188">
        <f t="shared" si="4"/>
        <v>1296248.1984558359</v>
      </c>
    </row>
    <row r="52" spans="1:19" x14ac:dyDescent="0.2">
      <c r="A52" s="158">
        <f t="shared" si="8"/>
        <v>31</v>
      </c>
      <c r="B52" s="156" t="s">
        <v>95</v>
      </c>
      <c r="C52" s="151">
        <v>2</v>
      </c>
      <c r="D52" s="159" t="s">
        <v>77</v>
      </c>
      <c r="E52" s="181" t="s">
        <v>190</v>
      </c>
      <c r="F52" s="181" t="s">
        <v>190</v>
      </c>
      <c r="G52" s="217" t="str">
        <f>+CO1_MODIFICADA!F60</f>
        <v>N/A</v>
      </c>
      <c r="H52" s="217">
        <f>+'CO3'!F61</f>
        <v>522000</v>
      </c>
      <c r="I52" s="252">
        <f>+CO4AJUSTADA!G52</f>
        <v>4760000</v>
      </c>
      <c r="J52" s="217">
        <f>+(1654000*1.0677)</f>
        <v>1765975.8</v>
      </c>
      <c r="K52" s="217">
        <f>+'OPTIMA 2015'!F204</f>
        <v>550000</v>
      </c>
      <c r="L52" s="217">
        <f t="shared" si="5"/>
        <v>1246396.5071728181</v>
      </c>
      <c r="M52" s="217">
        <f t="shared" si="1"/>
        <v>1899493.95</v>
      </c>
      <c r="N52" s="217">
        <f t="shared" si="2"/>
        <v>2492793.0143456361</v>
      </c>
      <c r="O52" s="217">
        <f t="shared" si="9"/>
        <v>3798987.9</v>
      </c>
      <c r="P52" s="416"/>
      <c r="Q52" s="416"/>
      <c r="R52" s="188">
        <f t="shared" si="7"/>
        <v>2899317.9901487175</v>
      </c>
      <c r="S52" s="188">
        <f t="shared" si="4"/>
        <v>5798635.9802974351</v>
      </c>
    </row>
    <row r="53" spans="1:19" hidden="1" x14ac:dyDescent="0.2">
      <c r="A53" s="158">
        <f t="shared" si="8"/>
        <v>32</v>
      </c>
      <c r="B53" s="156" t="s">
        <v>96</v>
      </c>
      <c r="C53" s="151">
        <v>1</v>
      </c>
      <c r="D53" s="159" t="s">
        <v>77</v>
      </c>
      <c r="E53" s="181"/>
      <c r="F53" s="181">
        <f t="shared" ref="F53:F58" si="10">+E53*C53</f>
        <v>0</v>
      </c>
      <c r="G53" s="217"/>
      <c r="H53" s="217"/>
      <c r="I53" s="252"/>
      <c r="J53" s="217"/>
      <c r="K53" s="217"/>
      <c r="L53" s="217"/>
      <c r="M53" s="217"/>
      <c r="N53" s="217"/>
      <c r="O53" s="217">
        <f t="shared" si="9"/>
        <v>0</v>
      </c>
      <c r="P53" s="416"/>
      <c r="Q53" s="416"/>
    </row>
    <row r="54" spans="1:19" hidden="1" x14ac:dyDescent="0.2">
      <c r="A54" s="158">
        <f t="shared" si="8"/>
        <v>33</v>
      </c>
      <c r="B54" s="156" t="s">
        <v>97</v>
      </c>
      <c r="C54" s="151">
        <v>1</v>
      </c>
      <c r="D54" s="159" t="s">
        <v>77</v>
      </c>
      <c r="E54" s="181"/>
      <c r="F54" s="181">
        <f t="shared" si="10"/>
        <v>0</v>
      </c>
      <c r="G54" s="217"/>
      <c r="H54" s="217"/>
      <c r="I54" s="252"/>
      <c r="J54" s="217"/>
      <c r="K54" s="217"/>
      <c r="L54" s="217"/>
      <c r="M54" s="217"/>
      <c r="N54" s="217"/>
      <c r="O54" s="217">
        <f t="shared" si="9"/>
        <v>0</v>
      </c>
      <c r="P54" s="416"/>
      <c r="Q54" s="416"/>
    </row>
    <row r="55" spans="1:19" hidden="1" x14ac:dyDescent="0.2">
      <c r="A55" s="158">
        <f t="shared" si="8"/>
        <v>34</v>
      </c>
      <c r="B55" s="156" t="s">
        <v>98</v>
      </c>
      <c r="C55" s="151">
        <v>1</v>
      </c>
      <c r="D55" s="159" t="s">
        <v>77</v>
      </c>
      <c r="E55" s="181"/>
      <c r="F55" s="181">
        <f t="shared" si="10"/>
        <v>0</v>
      </c>
      <c r="G55" s="217"/>
      <c r="H55" s="217"/>
      <c r="I55" s="252"/>
      <c r="J55" s="217"/>
      <c r="K55" s="217"/>
      <c r="L55" s="217"/>
      <c r="M55" s="217"/>
      <c r="N55" s="217"/>
      <c r="O55" s="217">
        <f t="shared" si="9"/>
        <v>0</v>
      </c>
      <c r="P55" s="416"/>
      <c r="Q55" s="416"/>
    </row>
    <row r="56" spans="1:19" hidden="1" x14ac:dyDescent="0.2">
      <c r="A56" s="158">
        <f t="shared" si="8"/>
        <v>35</v>
      </c>
      <c r="B56" s="156" t="s">
        <v>99</v>
      </c>
      <c r="C56" s="151">
        <v>1</v>
      </c>
      <c r="D56" s="159" t="s">
        <v>77</v>
      </c>
      <c r="E56" s="181"/>
      <c r="F56" s="181">
        <f t="shared" si="10"/>
        <v>0</v>
      </c>
      <c r="G56" s="217"/>
      <c r="H56" s="217"/>
      <c r="I56" s="252"/>
      <c r="J56" s="217"/>
      <c r="K56" s="217"/>
      <c r="L56" s="217"/>
      <c r="M56" s="217"/>
      <c r="N56" s="217"/>
      <c r="O56" s="217">
        <f t="shared" si="9"/>
        <v>0</v>
      </c>
      <c r="P56" s="416"/>
      <c r="Q56" s="416"/>
    </row>
    <row r="57" spans="1:19" hidden="1" x14ac:dyDescent="0.2">
      <c r="A57" s="158">
        <f t="shared" si="8"/>
        <v>36</v>
      </c>
      <c r="B57" s="156" t="s">
        <v>100</v>
      </c>
      <c r="C57" s="151">
        <v>1</v>
      </c>
      <c r="D57" s="159" t="s">
        <v>77</v>
      </c>
      <c r="E57" s="181"/>
      <c r="F57" s="181">
        <f t="shared" si="10"/>
        <v>0</v>
      </c>
      <c r="G57" s="217"/>
      <c r="H57" s="217"/>
      <c r="I57" s="252"/>
      <c r="J57" s="217"/>
      <c r="K57" s="217"/>
      <c r="L57" s="217"/>
      <c r="M57" s="217"/>
      <c r="N57" s="217"/>
      <c r="O57" s="217">
        <f t="shared" si="9"/>
        <v>0</v>
      </c>
      <c r="P57" s="416"/>
      <c r="Q57" s="416"/>
    </row>
    <row r="58" spans="1:19" x14ac:dyDescent="0.2">
      <c r="A58" s="158">
        <v>32</v>
      </c>
      <c r="B58" s="156" t="s">
        <v>155</v>
      </c>
      <c r="C58" s="151">
        <v>12500</v>
      </c>
      <c r="D58" s="159" t="s">
        <v>77</v>
      </c>
      <c r="E58" s="181">
        <v>3200</v>
      </c>
      <c r="F58" s="181">
        <f t="shared" si="10"/>
        <v>40000000</v>
      </c>
      <c r="G58" s="217">
        <f>+CO1_MODIFICADA!F66</f>
        <v>3200</v>
      </c>
      <c r="H58" s="217">
        <f>+'CO3'!F67</f>
        <v>4060</v>
      </c>
      <c r="I58" s="252">
        <f>+CO4AJUSTADA!G58</f>
        <v>4900</v>
      </c>
      <c r="J58" s="217">
        <f>2860*1.0677</f>
        <v>3053.6220000000003</v>
      </c>
      <c r="K58" s="217" t="s">
        <v>560</v>
      </c>
      <c r="L58" s="217">
        <f t="shared" si="5"/>
        <v>3733.9787490185377</v>
      </c>
      <c r="M58" s="217">
        <f t="shared" ref="M58:M71" si="11">+AVERAGE(G58:K58)</f>
        <v>3803.4054999999998</v>
      </c>
      <c r="N58" s="217">
        <f t="shared" ref="N58:N71" si="12">+L58*C58</f>
        <v>46674734.362731718</v>
      </c>
      <c r="O58" s="217">
        <f t="shared" si="9"/>
        <v>47542568.75</v>
      </c>
      <c r="P58" s="416"/>
      <c r="Q58" s="416"/>
      <c r="R58" s="188">
        <f>+GEOMEAN(I58:J58)</f>
        <v>3868.1711182417976</v>
      </c>
      <c r="S58" s="188">
        <f t="shared" ref="S58:S71" si="13">+R58*C58</f>
        <v>48352138.978022471</v>
      </c>
    </row>
    <row r="59" spans="1:19" x14ac:dyDescent="0.2">
      <c r="A59" s="271"/>
      <c r="B59" s="539" t="s">
        <v>257</v>
      </c>
      <c r="C59" s="540"/>
      <c r="D59" s="540"/>
      <c r="E59" s="540"/>
      <c r="F59" s="541"/>
      <c r="G59" s="279">
        <f>+'C01_INICIAL'!F68</f>
        <v>0</v>
      </c>
      <c r="H59" s="279"/>
      <c r="I59" s="279">
        <f>+'CO4'!F68</f>
        <v>0</v>
      </c>
      <c r="J59" s="279"/>
      <c r="K59" s="279"/>
      <c r="L59" s="279"/>
      <c r="M59" s="279">
        <f t="shared" si="11"/>
        <v>0</v>
      </c>
      <c r="N59" s="279">
        <f t="shared" si="12"/>
        <v>0</v>
      </c>
      <c r="O59" s="279">
        <f t="shared" si="9"/>
        <v>0</v>
      </c>
      <c r="P59" s="416"/>
      <c r="Q59" s="416"/>
      <c r="S59" s="188">
        <f t="shared" si="13"/>
        <v>0</v>
      </c>
    </row>
    <row r="60" spans="1:19" x14ac:dyDescent="0.2">
      <c r="A60" s="158">
        <v>1</v>
      </c>
      <c r="B60" s="156" t="s">
        <v>163</v>
      </c>
      <c r="C60" s="160">
        <v>1</v>
      </c>
      <c r="D60" s="159" t="s">
        <v>77</v>
      </c>
      <c r="E60" s="181">
        <v>1200000</v>
      </c>
      <c r="F60" s="181">
        <v>1200000</v>
      </c>
      <c r="G60" s="252">
        <f>+CO1_MODIFICADA!F68</f>
        <v>1200000</v>
      </c>
      <c r="H60" s="252">
        <f>+'CO3'!F69</f>
        <v>663917</v>
      </c>
      <c r="I60" s="252">
        <f>+CO4AJUSTADA!G60</f>
        <v>476050</v>
      </c>
      <c r="J60" s="217" t="s">
        <v>560</v>
      </c>
      <c r="K60" s="217" t="s">
        <v>560</v>
      </c>
      <c r="L60" s="217">
        <f t="shared" si="5"/>
        <v>723851.03809114045</v>
      </c>
      <c r="M60" s="217">
        <f t="shared" si="11"/>
        <v>779989</v>
      </c>
      <c r="N60" s="217">
        <f t="shared" si="12"/>
        <v>723851.03809114045</v>
      </c>
      <c r="O60" s="217">
        <f t="shared" si="9"/>
        <v>779989</v>
      </c>
      <c r="P60" s="416"/>
      <c r="Q60" s="416"/>
      <c r="R60" s="188">
        <f>+GEOMEAN(I60:J60)</f>
        <v>476050</v>
      </c>
      <c r="S60" s="188">
        <f t="shared" si="13"/>
        <v>476050</v>
      </c>
    </row>
    <row r="61" spans="1:19" x14ac:dyDescent="0.2">
      <c r="A61" s="158">
        <v>2</v>
      </c>
      <c r="B61" s="156" t="s">
        <v>164</v>
      </c>
      <c r="C61" s="160">
        <v>12500</v>
      </c>
      <c r="D61" s="159" t="s">
        <v>77</v>
      </c>
      <c r="E61" s="181">
        <v>270</v>
      </c>
      <c r="F61" s="181">
        <f>+E61*C61</f>
        <v>3375000</v>
      </c>
      <c r="G61" s="252">
        <f>+CO1_MODIFICADA!F69</f>
        <v>270</v>
      </c>
      <c r="H61" s="252">
        <f>+'CO3'!F70</f>
        <v>223.88</v>
      </c>
      <c r="I61" s="252">
        <f>+CO4AJUSTADA!G61</f>
        <v>605</v>
      </c>
      <c r="J61" s="217" t="s">
        <v>560</v>
      </c>
      <c r="K61" s="217">
        <v>5500</v>
      </c>
      <c r="L61" s="217">
        <f t="shared" si="5"/>
        <v>669.69072113787945</v>
      </c>
      <c r="M61" s="217">
        <f t="shared" si="11"/>
        <v>1649.72</v>
      </c>
      <c r="N61" s="217">
        <f t="shared" si="12"/>
        <v>8371134.0142234927</v>
      </c>
      <c r="O61" s="217">
        <f t="shared" si="9"/>
        <v>20621500</v>
      </c>
      <c r="P61" s="416" t="s">
        <v>649</v>
      </c>
      <c r="Q61" s="416"/>
      <c r="R61" s="188">
        <f>+GEOMEAN(I61:J61)</f>
        <v>605</v>
      </c>
      <c r="S61" s="188">
        <f t="shared" si="13"/>
        <v>7562500</v>
      </c>
    </row>
    <row r="62" spans="1:19" ht="25.5" x14ac:dyDescent="0.2">
      <c r="A62" s="158">
        <v>3</v>
      </c>
      <c r="B62" s="156" t="s">
        <v>167</v>
      </c>
      <c r="C62" s="160">
        <v>1</v>
      </c>
      <c r="D62" s="159" t="s">
        <v>77</v>
      </c>
      <c r="E62" s="181">
        <v>2500000</v>
      </c>
      <c r="F62" s="181">
        <v>2500000</v>
      </c>
      <c r="G62" s="252">
        <f>+CO1_MODIFICADA!F70</f>
        <v>2500000</v>
      </c>
      <c r="H62" s="252">
        <f>+'CO3'!F71</f>
        <v>360413</v>
      </c>
      <c r="I62" s="252">
        <f>+CO4AJUSTADA!G62</f>
        <v>760725</v>
      </c>
      <c r="J62" s="217" t="s">
        <v>560</v>
      </c>
      <c r="K62" s="217" t="s">
        <v>560</v>
      </c>
      <c r="L62" s="217">
        <f t="shared" si="5"/>
        <v>881703.80502081057</v>
      </c>
      <c r="M62" s="217">
        <f t="shared" si="11"/>
        <v>1207046</v>
      </c>
      <c r="N62" s="217">
        <f t="shared" si="12"/>
        <v>881703.80502081057</v>
      </c>
      <c r="O62" s="217">
        <f t="shared" si="9"/>
        <v>1207046</v>
      </c>
      <c r="P62" s="416"/>
      <c r="Q62" s="416"/>
      <c r="R62" s="188">
        <f>+GEOMEAN(I62:J62)</f>
        <v>760725</v>
      </c>
      <c r="S62" s="188">
        <f t="shared" si="13"/>
        <v>760725</v>
      </c>
    </row>
    <row r="63" spans="1:19" ht="25.5" x14ac:dyDescent="0.2">
      <c r="A63" s="158">
        <v>4</v>
      </c>
      <c r="B63" s="156" t="s">
        <v>168</v>
      </c>
      <c r="C63" s="160">
        <v>12500</v>
      </c>
      <c r="D63" s="159" t="s">
        <v>77</v>
      </c>
      <c r="E63" s="181">
        <v>2800</v>
      </c>
      <c r="F63" s="181">
        <f>+E63*C63</f>
        <v>35000000</v>
      </c>
      <c r="G63" s="252">
        <f>+CO1_MODIFICADA!F71</f>
        <v>2800</v>
      </c>
      <c r="H63" s="252">
        <f>+'CO3'!F72</f>
        <v>266.8</v>
      </c>
      <c r="I63" s="252">
        <f>+CO4AJUSTADA!G63</f>
        <v>372</v>
      </c>
      <c r="J63" s="217" t="s">
        <v>560</v>
      </c>
      <c r="K63" s="217">
        <v>5500</v>
      </c>
      <c r="L63" s="217">
        <f t="shared" si="5"/>
        <v>1111.8914008381716</v>
      </c>
      <c r="M63" s="217">
        <f t="shared" si="11"/>
        <v>2234.6999999999998</v>
      </c>
      <c r="N63" s="217">
        <f t="shared" si="12"/>
        <v>13898642.510477146</v>
      </c>
      <c r="O63" s="217">
        <f t="shared" si="9"/>
        <v>27933749.999999996</v>
      </c>
      <c r="P63" s="416" t="s">
        <v>649</v>
      </c>
      <c r="Q63" s="416"/>
      <c r="R63" s="188">
        <f>+GEOMEAN(I63:J63)</f>
        <v>372</v>
      </c>
      <c r="S63" s="188">
        <f t="shared" si="13"/>
        <v>4650000</v>
      </c>
    </row>
    <row r="64" spans="1:19" x14ac:dyDescent="0.2">
      <c r="A64" s="271"/>
      <c r="B64" s="272" t="s">
        <v>258</v>
      </c>
      <c r="C64" s="272"/>
      <c r="D64" s="272"/>
      <c r="E64" s="273"/>
      <c r="F64" s="273"/>
      <c r="G64" s="281">
        <f>+'C01_INICIAL'!F78</f>
        <v>0</v>
      </c>
      <c r="H64" s="281"/>
      <c r="I64" s="281">
        <f>+'CO4'!F78</f>
        <v>0</v>
      </c>
      <c r="J64" s="281"/>
      <c r="K64" s="281"/>
      <c r="L64" s="281"/>
      <c r="M64" s="281">
        <f t="shared" si="11"/>
        <v>0</v>
      </c>
      <c r="N64" s="281">
        <f t="shared" si="12"/>
        <v>0</v>
      </c>
      <c r="O64" s="281">
        <f t="shared" si="9"/>
        <v>0</v>
      </c>
      <c r="P64" s="416"/>
      <c r="Q64" s="416"/>
      <c r="S64" s="188">
        <f t="shared" si="13"/>
        <v>0</v>
      </c>
    </row>
    <row r="65" spans="1:21" x14ac:dyDescent="0.2">
      <c r="A65" s="158">
        <v>1</v>
      </c>
      <c r="B65" s="156" t="s">
        <v>253</v>
      </c>
      <c r="C65" s="151">
        <v>1</v>
      </c>
      <c r="D65" s="159" t="s">
        <v>106</v>
      </c>
      <c r="E65" s="181">
        <v>3200000</v>
      </c>
      <c r="F65" s="181">
        <f>+E65*C65</f>
        <v>3200000</v>
      </c>
      <c r="G65" s="252">
        <f>+CO1_MODIFICADA!F73</f>
        <v>3200000</v>
      </c>
      <c r="H65" s="252">
        <f>+'CO3'!F77</f>
        <v>35000000</v>
      </c>
      <c r="I65" s="252">
        <f>+CO4AJUSTADA!G65</f>
        <v>21890000</v>
      </c>
      <c r="J65" s="217" t="s">
        <v>560</v>
      </c>
      <c r="K65" s="217" t="s">
        <v>560</v>
      </c>
      <c r="L65" s="217">
        <f t="shared" si="5"/>
        <v>13484078.165690986</v>
      </c>
      <c r="M65" s="217">
        <f t="shared" si="11"/>
        <v>20030000</v>
      </c>
      <c r="N65" s="217">
        <f t="shared" si="12"/>
        <v>13484078.165690986</v>
      </c>
      <c r="O65" s="217">
        <f t="shared" si="9"/>
        <v>20030000</v>
      </c>
      <c r="P65" s="416"/>
      <c r="Q65" s="416"/>
      <c r="R65" s="188">
        <f>+GEOMEAN(I65:J65)</f>
        <v>21890000</v>
      </c>
      <c r="S65" s="188">
        <f t="shared" si="13"/>
        <v>21890000</v>
      </c>
    </row>
    <row r="66" spans="1:21" x14ac:dyDescent="0.2">
      <c r="A66" s="158">
        <v>2</v>
      </c>
      <c r="B66" s="156" t="s">
        <v>665</v>
      </c>
      <c r="C66" s="151">
        <v>1</v>
      </c>
      <c r="D66" s="159" t="s">
        <v>119</v>
      </c>
      <c r="E66" s="181">
        <v>15600000</v>
      </c>
      <c r="F66" s="181">
        <f>+E66*C66</f>
        <v>15600000</v>
      </c>
      <c r="G66" s="252">
        <f>+CO1_MODIFICADA!F74</f>
        <v>23200000</v>
      </c>
      <c r="H66" s="252">
        <f>+'CO3'!F78</f>
        <v>235000000</v>
      </c>
      <c r="I66" s="252">
        <f>+CO4AJUSTADA!G66</f>
        <v>49000000</v>
      </c>
      <c r="J66" s="217">
        <f>(16240000*1.036)*1.0677</f>
        <v>17963668.128000002</v>
      </c>
      <c r="K66" s="217" t="s">
        <v>560</v>
      </c>
      <c r="L66" s="217">
        <f t="shared" si="5"/>
        <v>46804405.959450647</v>
      </c>
      <c r="M66" s="217">
        <f t="shared" si="11"/>
        <v>81290917.032000005</v>
      </c>
      <c r="N66" s="217">
        <f t="shared" si="12"/>
        <v>46804405.959450647</v>
      </c>
      <c r="O66" s="217">
        <f t="shared" si="9"/>
        <v>81290917.032000005</v>
      </c>
      <c r="P66" s="416" t="s">
        <v>655</v>
      </c>
      <c r="Q66" s="416"/>
      <c r="R66" s="188">
        <f>+GEOMEAN(I66:J66)</f>
        <v>29668497.405025423</v>
      </c>
      <c r="S66" s="188">
        <f t="shared" si="13"/>
        <v>29668497.405025423</v>
      </c>
    </row>
    <row r="67" spans="1:21" x14ac:dyDescent="0.2">
      <c r="A67" s="158">
        <v>3</v>
      </c>
      <c r="B67" s="156" t="s">
        <v>120</v>
      </c>
      <c r="C67" s="160">
        <v>4000</v>
      </c>
      <c r="D67" s="159" t="s">
        <v>108</v>
      </c>
      <c r="E67" s="181">
        <v>900</v>
      </c>
      <c r="F67" s="181">
        <f>+E67*C67</f>
        <v>3600000</v>
      </c>
      <c r="G67" s="252">
        <f>+CO1_MODIFICADA!F75</f>
        <v>900</v>
      </c>
      <c r="H67" s="252"/>
      <c r="I67" s="252"/>
      <c r="J67" s="217"/>
      <c r="K67" s="217"/>
      <c r="L67" s="217"/>
      <c r="M67" s="217">
        <f t="shared" si="11"/>
        <v>900</v>
      </c>
      <c r="N67" s="217">
        <f t="shared" si="12"/>
        <v>0</v>
      </c>
      <c r="O67" s="217">
        <f t="shared" si="9"/>
        <v>3600000</v>
      </c>
      <c r="P67" s="416" t="s">
        <v>654</v>
      </c>
      <c r="Q67" s="416"/>
      <c r="R67" s="188" t="e">
        <f>+GEOMEAN(I67:J67)</f>
        <v>#NUM!</v>
      </c>
      <c r="S67" s="188" t="e">
        <f t="shared" si="13"/>
        <v>#NUM!</v>
      </c>
    </row>
    <row r="68" spans="1:21" x14ac:dyDescent="0.2">
      <c r="A68" s="266"/>
      <c r="B68" s="272" t="s">
        <v>254</v>
      </c>
      <c r="C68" s="267"/>
      <c r="D68" s="265"/>
      <c r="E68" s="268"/>
      <c r="F68" s="268"/>
      <c r="G68" s="279">
        <f>+'C01_INICIAL'!F84</f>
        <v>0</v>
      </c>
      <c r="H68" s="279"/>
      <c r="I68" s="279">
        <f>+'CO4'!F84</f>
        <v>0</v>
      </c>
      <c r="J68" s="279"/>
      <c r="K68" s="279"/>
      <c r="L68" s="279"/>
      <c r="M68" s="279">
        <f t="shared" si="11"/>
        <v>0</v>
      </c>
      <c r="N68" s="279">
        <f t="shared" si="12"/>
        <v>0</v>
      </c>
      <c r="O68" s="279">
        <f t="shared" si="9"/>
        <v>0</v>
      </c>
      <c r="P68" s="416"/>
      <c r="Q68" s="416"/>
      <c r="S68" s="188">
        <f t="shared" si="13"/>
        <v>0</v>
      </c>
    </row>
    <row r="69" spans="1:21" ht="12" customHeight="1" x14ac:dyDescent="0.2">
      <c r="A69" s="146">
        <v>1</v>
      </c>
      <c r="B69" s="147" t="s">
        <v>162</v>
      </c>
      <c r="C69" s="148">
        <v>1</v>
      </c>
      <c r="D69" s="166" t="s">
        <v>77</v>
      </c>
      <c r="E69" s="184">
        <v>100000000</v>
      </c>
      <c r="F69" s="181">
        <v>100000000</v>
      </c>
      <c r="G69" s="217">
        <f>+CO1_MODIFICADA!F79</f>
        <v>100000000</v>
      </c>
      <c r="H69" s="217">
        <f>+'CO3'!F83</f>
        <v>96000000</v>
      </c>
      <c r="I69" s="252">
        <f>+CO4AJUSTADA!G69</f>
        <v>95500000</v>
      </c>
      <c r="J69" s="252">
        <v>95226900</v>
      </c>
      <c r="K69" s="252" t="s">
        <v>560</v>
      </c>
      <c r="L69" s="217">
        <f t="shared" ref="L69" si="14">+GEOMEAN(G69:K69)</f>
        <v>96662620.105915993</v>
      </c>
      <c r="M69" s="217">
        <f t="shared" si="11"/>
        <v>96681725</v>
      </c>
      <c r="N69" s="217">
        <f t="shared" si="12"/>
        <v>96662620.105915993</v>
      </c>
      <c r="O69" s="217">
        <f t="shared" si="9"/>
        <v>96681725</v>
      </c>
      <c r="P69" s="416" t="s">
        <v>656</v>
      </c>
      <c r="Q69" s="416"/>
      <c r="R69" s="188">
        <f>+GEOMEAN(I69:J69)</f>
        <v>95363352.237638965</v>
      </c>
      <c r="S69" s="188">
        <f t="shared" si="13"/>
        <v>95363352.237638965</v>
      </c>
    </row>
    <row r="70" spans="1:21" x14ac:dyDescent="0.2">
      <c r="A70" s="275"/>
      <c r="B70" s="283" t="s">
        <v>255</v>
      </c>
      <c r="C70" s="283"/>
      <c r="D70" s="283"/>
      <c r="E70" s="273"/>
      <c r="F70" s="273"/>
      <c r="G70" s="281">
        <f>+'C01_INICIAL'!F86</f>
        <v>0</v>
      </c>
      <c r="H70" s="281"/>
      <c r="I70" s="281">
        <f>+'CO4'!F86</f>
        <v>0</v>
      </c>
      <c r="J70" s="281"/>
      <c r="K70" s="281"/>
      <c r="L70" s="281"/>
      <c r="M70" s="281">
        <f t="shared" si="11"/>
        <v>0</v>
      </c>
      <c r="N70" s="281">
        <f t="shared" si="12"/>
        <v>0</v>
      </c>
      <c r="O70" s="281">
        <f t="shared" si="9"/>
        <v>0</v>
      </c>
      <c r="P70" s="416"/>
      <c r="Q70" s="416"/>
      <c r="S70" s="188">
        <f t="shared" si="13"/>
        <v>0</v>
      </c>
    </row>
    <row r="71" spans="1:21" x14ac:dyDescent="0.2">
      <c r="A71" s="146">
        <v>1</v>
      </c>
      <c r="B71" s="156" t="s">
        <v>103</v>
      </c>
      <c r="C71" s="151">
        <v>10</v>
      </c>
      <c r="D71" s="154" t="s">
        <v>105</v>
      </c>
      <c r="E71" s="184">
        <v>35000000</v>
      </c>
      <c r="F71" s="181">
        <f>C71*E71</f>
        <v>350000000</v>
      </c>
      <c r="G71" s="252">
        <f>+CO1_MODIFICADA!F81</f>
        <v>35000000</v>
      </c>
      <c r="H71" s="252">
        <f>+'CO3'!F85</f>
        <v>11210000</v>
      </c>
      <c r="I71" s="252">
        <f>+CO4AJUSTADA!G71</f>
        <v>8690000</v>
      </c>
      <c r="J71" s="217">
        <f>7768133*1.0677</f>
        <v>8294035.604100001</v>
      </c>
      <c r="K71" s="217">
        <v>3500000</v>
      </c>
      <c r="L71" s="217">
        <f t="shared" ref="L71" si="15">+GEOMEAN(G71:K71)</f>
        <v>9979423.9895822164</v>
      </c>
      <c r="M71" s="217">
        <f t="shared" si="11"/>
        <v>13338807.120820001</v>
      </c>
      <c r="N71" s="217">
        <f t="shared" si="12"/>
        <v>99794239.895822167</v>
      </c>
      <c r="O71" s="217">
        <f t="shared" si="9"/>
        <v>133388071.20820001</v>
      </c>
      <c r="P71" s="416"/>
      <c r="Q71" s="416"/>
      <c r="R71" s="188">
        <f>+GEOMEAN(I71:J71)</f>
        <v>8489709.6180981956</v>
      </c>
      <c r="S71" s="188">
        <f t="shared" si="13"/>
        <v>84897096.180981964</v>
      </c>
    </row>
    <row r="72" spans="1:21" x14ac:dyDescent="0.2">
      <c r="A72" s="284"/>
      <c r="B72" s="283" t="s">
        <v>245</v>
      </c>
      <c r="C72" s="285"/>
      <c r="D72" s="264"/>
      <c r="E72" s="286"/>
      <c r="F72" s="286"/>
      <c r="G72" s="281">
        <f>+SUM(G12:G71)</f>
        <v>328639200</v>
      </c>
      <c r="H72" s="281">
        <f>+SUM(H12:H71)</f>
        <v>656132433.22000003</v>
      </c>
      <c r="I72" s="281">
        <f>+SUM(I12:I71)</f>
        <v>363708249</v>
      </c>
      <c r="J72" s="281">
        <f t="shared" ref="J72:N72" si="16">+SUM(J12:J71)</f>
        <v>302025588.95716798</v>
      </c>
      <c r="K72" s="281">
        <f t="shared" si="16"/>
        <v>42299320</v>
      </c>
      <c r="L72" s="281"/>
      <c r="M72" s="281"/>
      <c r="N72" s="281">
        <f t="shared" si="16"/>
        <v>1120782412.5858612</v>
      </c>
      <c r="O72" s="281">
        <f>+SUM(O12:O71)</f>
        <v>1369361063.3769701</v>
      </c>
      <c r="R72" s="188" t="e">
        <f>+SUM(R12:R71)</f>
        <v>#NUM!</v>
      </c>
      <c r="S72" s="188" t="e">
        <f>+SUM(S12:S71)</f>
        <v>#NUM!</v>
      </c>
      <c r="U72" s="137">
        <f>+O79-T72</f>
        <v>0</v>
      </c>
    </row>
    <row r="73" spans="1:21" hidden="1" x14ac:dyDescent="0.2">
      <c r="A73" s="270"/>
      <c r="B73" s="287" t="s">
        <v>244</v>
      </c>
      <c r="C73" s="282"/>
      <c r="D73" s="287"/>
      <c r="E73" s="268"/>
      <c r="F73" s="268"/>
      <c r="G73" s="279">
        <f>+'C01_INICIAL'!F88</f>
        <v>0</v>
      </c>
      <c r="H73" s="279"/>
      <c r="I73" s="279">
        <f>+'CO4'!F88</f>
        <v>0</v>
      </c>
      <c r="J73" s="279"/>
      <c r="K73" s="279"/>
      <c r="L73" s="398"/>
      <c r="M73" s="398"/>
      <c r="N73" s="279"/>
      <c r="O73" s="279"/>
      <c r="R73" s="188" t="e">
        <f>+GEOMEAN(I73:J73)</f>
        <v>#NUM!</v>
      </c>
    </row>
    <row r="74" spans="1:21" hidden="1" x14ac:dyDescent="0.2">
      <c r="A74" s="288"/>
      <c r="B74" s="282" t="s">
        <v>246</v>
      </c>
      <c r="C74" s="289">
        <v>10</v>
      </c>
      <c r="D74" s="269" t="s">
        <v>105</v>
      </c>
      <c r="E74" s="290"/>
      <c r="F74" s="290"/>
      <c r="G74" s="291">
        <f>+(R80*0.1)</f>
        <v>0</v>
      </c>
      <c r="H74" s="291"/>
      <c r="I74" s="279"/>
      <c r="J74" s="279"/>
      <c r="K74" s="279"/>
      <c r="L74" s="279"/>
      <c r="M74" s="279"/>
      <c r="N74" s="279">
        <f>+N79*0.07</f>
        <v>0</v>
      </c>
      <c r="O74" s="279">
        <f>+O79*0.07</f>
        <v>0</v>
      </c>
      <c r="R74" s="188" t="e">
        <f>+GEOMEAN(I74:J74)</f>
        <v>#NUM!</v>
      </c>
    </row>
    <row r="75" spans="1:21" x14ac:dyDescent="0.2">
      <c r="A75" s="284"/>
      <c r="B75" s="283" t="s">
        <v>248</v>
      </c>
      <c r="C75" s="285"/>
      <c r="D75" s="264"/>
      <c r="E75" s="286"/>
      <c r="F75" s="286"/>
      <c r="G75" s="292"/>
      <c r="H75" s="292"/>
      <c r="I75" s="281"/>
      <c r="J75" s="281"/>
      <c r="K75" s="281"/>
      <c r="L75" s="281"/>
      <c r="M75" s="281"/>
      <c r="N75" s="281">
        <f>+N72/1.16</f>
        <v>966191734.98781145</v>
      </c>
      <c r="O75" s="281">
        <f>+O72/1.16</f>
        <v>1180483675.3249743</v>
      </c>
    </row>
    <row r="76" spans="1:21" x14ac:dyDescent="0.2">
      <c r="A76" s="288"/>
      <c r="B76" s="282" t="s">
        <v>247</v>
      </c>
      <c r="C76" s="289"/>
      <c r="D76" s="269"/>
      <c r="E76" s="290"/>
      <c r="F76" s="290"/>
      <c r="G76" s="279"/>
      <c r="H76" s="279"/>
      <c r="I76" s="279"/>
      <c r="J76" s="279"/>
      <c r="K76" s="279"/>
      <c r="L76" s="279"/>
      <c r="M76" s="279"/>
      <c r="N76" s="279">
        <f>+N75*0.07</f>
        <v>67633421.449146807</v>
      </c>
      <c r="O76" s="279">
        <f>+O75*0.07</f>
        <v>82633857.272748202</v>
      </c>
    </row>
    <row r="77" spans="1:21" x14ac:dyDescent="0.2">
      <c r="A77" s="288"/>
      <c r="B77" s="282" t="s">
        <v>249</v>
      </c>
      <c r="C77" s="289"/>
      <c r="D77" s="269"/>
      <c r="E77" s="290"/>
      <c r="F77" s="290"/>
      <c r="G77" s="279"/>
      <c r="H77" s="279"/>
      <c r="I77" s="279"/>
      <c r="J77" s="279"/>
      <c r="K77" s="279"/>
      <c r="L77" s="279"/>
      <c r="M77" s="279"/>
      <c r="N77" s="279">
        <f>+N76+N75</f>
        <v>1033825156.4369583</v>
      </c>
      <c r="O77" s="279">
        <f>+O76+O75</f>
        <v>1263117532.5977225</v>
      </c>
    </row>
    <row r="78" spans="1:21" x14ac:dyDescent="0.2">
      <c r="A78" s="258"/>
      <c r="B78" s="259" t="s">
        <v>250</v>
      </c>
      <c r="C78" s="260"/>
      <c r="D78" s="139"/>
      <c r="E78" s="261"/>
      <c r="F78" s="261"/>
      <c r="G78" s="262"/>
      <c r="H78" s="262"/>
      <c r="I78" s="262"/>
      <c r="J78" s="262"/>
      <c r="K78" s="262"/>
      <c r="L78" s="262"/>
      <c r="M78" s="262"/>
      <c r="N78" s="262">
        <f>+N77*1.16</f>
        <v>1199237181.4668715</v>
      </c>
      <c r="O78" s="262">
        <f>+O77*1.16</f>
        <v>1465216337.8133581</v>
      </c>
    </row>
    <row r="79" spans="1:21" x14ac:dyDescent="0.2">
      <c r="P79" s="188"/>
      <c r="Q79" s="188"/>
    </row>
    <row r="80" spans="1:21" x14ac:dyDescent="0.2">
      <c r="P80" s="416" t="s">
        <v>650</v>
      </c>
      <c r="Q80" s="416"/>
    </row>
    <row r="81" spans="15:17" x14ac:dyDescent="0.2">
      <c r="O81" s="263"/>
      <c r="P81" s="416" t="s">
        <v>650</v>
      </c>
      <c r="Q81" s="416"/>
    </row>
    <row r="82" spans="15:17" x14ac:dyDescent="0.2">
      <c r="P82" s="416" t="s">
        <v>651</v>
      </c>
      <c r="Q82" s="416"/>
    </row>
    <row r="83" spans="15:17" x14ac:dyDescent="0.2">
      <c r="P83" s="416" t="s">
        <v>652</v>
      </c>
      <c r="Q83" s="416"/>
    </row>
    <row r="84" spans="15:17" x14ac:dyDescent="0.2">
      <c r="P84" s="416" t="s">
        <v>274</v>
      </c>
      <c r="Q84" s="416"/>
    </row>
    <row r="85" spans="15:17" x14ac:dyDescent="0.2">
      <c r="P85" s="416" t="s">
        <v>277</v>
      </c>
      <c r="Q85" s="416"/>
    </row>
    <row r="86" spans="15:17" x14ac:dyDescent="0.2">
      <c r="P86" s="416" t="s">
        <v>281</v>
      </c>
      <c r="Q86" s="416"/>
    </row>
    <row r="87" spans="15:17" x14ac:dyDescent="0.2">
      <c r="P87" s="416" t="s">
        <v>281</v>
      </c>
      <c r="Q87" s="416"/>
    </row>
    <row r="88" spans="15:17" x14ac:dyDescent="0.2">
      <c r="P88" s="416" t="s">
        <v>285</v>
      </c>
      <c r="Q88" s="416"/>
    </row>
    <row r="89" spans="15:17" x14ac:dyDescent="0.2">
      <c r="P89" s="416" t="s">
        <v>289</v>
      </c>
      <c r="Q89" s="416"/>
    </row>
    <row r="90" spans="15:17" x14ac:dyDescent="0.2">
      <c r="P90" s="416" t="s">
        <v>292</v>
      </c>
      <c r="Q90" s="416"/>
    </row>
    <row r="91" spans="15:17" x14ac:dyDescent="0.2">
      <c r="P91" s="416" t="s">
        <v>295</v>
      </c>
      <c r="Q91" s="416"/>
    </row>
    <row r="92" spans="15:17" x14ac:dyDescent="0.2">
      <c r="P92" s="416" t="s">
        <v>602</v>
      </c>
      <c r="Q92" s="416"/>
    </row>
    <row r="93" spans="15:17" x14ac:dyDescent="0.2">
      <c r="P93" s="416" t="s">
        <v>602</v>
      </c>
      <c r="Q93" s="416"/>
    </row>
    <row r="94" spans="15:17" ht="15.75" customHeight="1" x14ac:dyDescent="0.2">
      <c r="P94" s="416" t="s">
        <v>607</v>
      </c>
      <c r="Q94" s="416"/>
    </row>
    <row r="95" spans="15:17" x14ac:dyDescent="0.2">
      <c r="P95" s="416" t="s">
        <v>611</v>
      </c>
      <c r="Q95" s="416"/>
    </row>
    <row r="96" spans="15:17" ht="25.5" x14ac:dyDescent="0.2">
      <c r="P96" s="416" t="s">
        <v>616</v>
      </c>
      <c r="Q96" s="416"/>
    </row>
    <row r="97" spans="16:17" ht="12.75" customHeight="1" x14ac:dyDescent="0.2">
      <c r="P97" s="416" t="s">
        <v>653</v>
      </c>
      <c r="Q97" s="416"/>
    </row>
    <row r="98" spans="16:17" ht="13.5" customHeight="1" x14ac:dyDescent="0.2">
      <c r="P98" s="416"/>
      <c r="Q98" s="416"/>
    </row>
    <row r="99" spans="16:17" x14ac:dyDescent="0.2">
      <c r="P99" s="416" t="s">
        <v>653</v>
      </c>
      <c r="Q99" s="416"/>
    </row>
  </sheetData>
  <mergeCells count="3">
    <mergeCell ref="A9:B9"/>
    <mergeCell ref="B59:F59"/>
    <mergeCell ref="A8:O8"/>
  </mergeCells>
  <pageMargins left="0.25" right="0.25" top="0.75" bottom="0.75" header="0.3" footer="0.3"/>
  <pageSetup scale="59" fitToHeight="0" orientation="landscape" r:id="rId1"/>
  <ignoredErrors>
    <ignoredError sqref="J49 R72" 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00"/>
  <sheetViews>
    <sheetView tabSelected="1" view="pageBreakPreview" zoomScaleSheetLayoutView="100" zoomScalePageLayoutView="125" workbookViewId="0">
      <pane xSplit="2" ySplit="11" topLeftCell="C12" activePane="bottomRight" state="frozen"/>
      <selection pane="topRight" activeCell="C1" sqref="C1"/>
      <selection pane="bottomLeft" activeCell="A12" sqref="A12"/>
      <selection pane="bottomRight" activeCell="A9" sqref="A9:B9"/>
    </sheetView>
  </sheetViews>
  <sheetFormatPr baseColWidth="10" defaultColWidth="10.85546875" defaultRowHeight="12.75" x14ac:dyDescent="0.2"/>
  <cols>
    <col min="1" max="1" width="7.42578125" style="172" bestFit="1" customWidth="1"/>
    <col min="2" max="2" width="51.42578125" style="173" customWidth="1"/>
    <col min="3" max="3" width="14.140625" style="174" customWidth="1"/>
    <col min="4" max="4" width="16.140625" style="174" customWidth="1"/>
    <col min="5" max="5" width="15.7109375" style="178" hidden="1" customWidth="1"/>
    <col min="6" max="6" width="20.28515625" style="178" hidden="1" customWidth="1"/>
    <col min="7" max="9" width="14.140625" style="215" customWidth="1"/>
    <col min="10" max="11" width="14.85546875" style="215" hidden="1" customWidth="1"/>
    <col min="12" max="12" width="13.42578125" style="137" bestFit="1" customWidth="1"/>
    <col min="13" max="13" width="11.5703125" style="137" bestFit="1" customWidth="1"/>
    <col min="14" max="16384" width="10.85546875" style="137"/>
  </cols>
  <sheetData>
    <row r="1" spans="1:12" x14ac:dyDescent="0.2">
      <c r="B1" s="213"/>
    </row>
    <row r="2" spans="1:12" hidden="1" x14ac:dyDescent="0.2">
      <c r="B2" s="213" t="s">
        <v>192</v>
      </c>
    </row>
    <row r="3" spans="1:12" hidden="1" x14ac:dyDescent="0.2">
      <c r="B3" s="213" t="s">
        <v>194</v>
      </c>
    </row>
    <row r="4" spans="1:12" hidden="1" x14ac:dyDescent="0.2">
      <c r="B4" s="214" t="s">
        <v>161</v>
      </c>
    </row>
    <row r="5" spans="1:12" hidden="1" x14ac:dyDescent="0.2">
      <c r="B5" s="213" t="s">
        <v>160</v>
      </c>
    </row>
    <row r="6" spans="1:12" hidden="1" x14ac:dyDescent="0.2">
      <c r="B6" s="213" t="s">
        <v>193</v>
      </c>
    </row>
    <row r="7" spans="1:12" ht="27" customHeight="1" x14ac:dyDescent="0.2"/>
    <row r="8" spans="1:12" ht="15" customHeight="1" x14ac:dyDescent="0.2">
      <c r="A8" s="542" t="s">
        <v>675</v>
      </c>
      <c r="B8" s="543"/>
      <c r="C8" s="543"/>
      <c r="D8" s="543"/>
      <c r="E8" s="543"/>
      <c r="F8" s="543"/>
      <c r="G8" s="543"/>
      <c r="H8" s="543"/>
      <c r="I8" s="543"/>
      <c r="J8" s="543"/>
      <c r="K8" s="543"/>
    </row>
    <row r="9" spans="1:12" ht="25.5" x14ac:dyDescent="0.2">
      <c r="A9" s="538" t="s">
        <v>62</v>
      </c>
      <c r="B9" s="538"/>
      <c r="C9" s="264" t="s">
        <v>63</v>
      </c>
      <c r="D9" s="264" t="s">
        <v>64</v>
      </c>
      <c r="E9" s="273" t="s">
        <v>101</v>
      </c>
      <c r="F9" s="273" t="s">
        <v>61</v>
      </c>
      <c r="G9" s="277"/>
      <c r="H9" s="277"/>
      <c r="I9" s="277"/>
      <c r="J9" s="274"/>
      <c r="K9" s="274"/>
    </row>
    <row r="10" spans="1:12" x14ac:dyDescent="0.2">
      <c r="A10" s="275"/>
      <c r="B10" s="272" t="s">
        <v>117</v>
      </c>
      <c r="C10" s="264"/>
      <c r="D10" s="264"/>
      <c r="E10" s="273"/>
      <c r="F10" s="273"/>
      <c r="G10" s="274"/>
      <c r="H10" s="274"/>
      <c r="I10" s="274"/>
      <c r="J10" s="274"/>
      <c r="K10" s="274"/>
    </row>
    <row r="11" spans="1:12" ht="22.5" x14ac:dyDescent="0.2">
      <c r="A11" s="414" t="s">
        <v>129</v>
      </c>
      <c r="B11" s="414" t="s">
        <v>170</v>
      </c>
      <c r="C11" s="272"/>
      <c r="D11" s="272"/>
      <c r="E11" s="273"/>
      <c r="F11" s="273"/>
      <c r="G11" s="414" t="s">
        <v>2</v>
      </c>
      <c r="H11" s="414" t="s">
        <v>667</v>
      </c>
      <c r="I11" s="414" t="s">
        <v>668</v>
      </c>
      <c r="J11" s="414" t="s">
        <v>666</v>
      </c>
      <c r="K11" s="414" t="s">
        <v>646</v>
      </c>
    </row>
    <row r="12" spans="1:12" ht="25.5" x14ac:dyDescent="0.2">
      <c r="A12" s="158">
        <v>1</v>
      </c>
      <c r="B12" s="147" t="s">
        <v>127</v>
      </c>
      <c r="C12" s="254">
        <v>3</v>
      </c>
      <c r="D12" s="148" t="s">
        <v>111</v>
      </c>
      <c r="E12" s="181">
        <v>29700000</v>
      </c>
      <c r="F12" s="181">
        <f t="shared" ref="F12:F20" si="0">+E12*C12</f>
        <v>89100000</v>
      </c>
      <c r="G12" s="217"/>
      <c r="H12" s="217">
        <f>+J12/1.16</f>
        <v>23694571.510936901</v>
      </c>
      <c r="I12" s="217">
        <f t="shared" ref="I12:I20" si="1">+G12*C12</f>
        <v>0</v>
      </c>
      <c r="J12" s="217">
        <v>27485702.952686802</v>
      </c>
      <c r="K12" s="217">
        <v>82457108.8580603</v>
      </c>
      <c r="L12" s="436"/>
    </row>
    <row r="13" spans="1:12" ht="25.5" x14ac:dyDescent="0.2">
      <c r="A13" s="158">
        <v>2</v>
      </c>
      <c r="B13" s="147" t="s">
        <v>128</v>
      </c>
      <c r="C13" s="254">
        <v>4</v>
      </c>
      <c r="D13" s="148" t="s">
        <v>111</v>
      </c>
      <c r="E13" s="181">
        <v>29400000</v>
      </c>
      <c r="F13" s="181">
        <f t="shared" si="0"/>
        <v>117600000</v>
      </c>
      <c r="G13" s="217"/>
      <c r="H13" s="217">
        <f t="shared" ref="H13:H71" si="2">+J13/1.16</f>
        <v>18536971.942406006</v>
      </c>
      <c r="I13" s="217">
        <f t="shared" si="1"/>
        <v>0</v>
      </c>
      <c r="J13" s="217">
        <v>21502887.453190964</v>
      </c>
      <c r="K13" s="217">
        <v>86011549.812763855</v>
      </c>
      <c r="L13" s="436"/>
    </row>
    <row r="14" spans="1:12" x14ac:dyDescent="0.2">
      <c r="A14" s="158">
        <v>3</v>
      </c>
      <c r="B14" s="147" t="s">
        <v>186</v>
      </c>
      <c r="C14" s="254">
        <v>5</v>
      </c>
      <c r="D14" s="148" t="s">
        <v>110</v>
      </c>
      <c r="E14" s="181">
        <v>7300000</v>
      </c>
      <c r="F14" s="181">
        <f t="shared" si="0"/>
        <v>36500000</v>
      </c>
      <c r="G14" s="217"/>
      <c r="H14" s="217">
        <f t="shared" si="2"/>
        <v>9049448.9035757631</v>
      </c>
      <c r="I14" s="217">
        <f t="shared" si="1"/>
        <v>0</v>
      </c>
      <c r="J14" s="217">
        <v>10497360.728147885</v>
      </c>
      <c r="K14" s="217">
        <v>52486803.640739426</v>
      </c>
      <c r="L14" s="436"/>
    </row>
    <row r="15" spans="1:12" x14ac:dyDescent="0.2">
      <c r="A15" s="158">
        <v>4</v>
      </c>
      <c r="B15" s="147" t="s">
        <v>187</v>
      </c>
      <c r="C15" s="254">
        <v>5</v>
      </c>
      <c r="D15" s="148" t="s">
        <v>110</v>
      </c>
      <c r="E15" s="181">
        <v>5400000</v>
      </c>
      <c r="F15" s="181">
        <f t="shared" si="0"/>
        <v>27000000</v>
      </c>
      <c r="G15" s="217"/>
      <c r="H15" s="217">
        <f t="shared" si="2"/>
        <v>12139798.595381018</v>
      </c>
      <c r="I15" s="217">
        <f t="shared" si="1"/>
        <v>0</v>
      </c>
      <c r="J15" s="217">
        <v>14082166.37064198</v>
      </c>
      <c r="K15" s="217">
        <v>70410831.853209898</v>
      </c>
      <c r="L15" s="436"/>
    </row>
    <row r="16" spans="1:12" x14ac:dyDescent="0.2">
      <c r="A16" s="158">
        <v>5</v>
      </c>
      <c r="B16" s="147" t="s">
        <v>113</v>
      </c>
      <c r="C16" s="254">
        <v>4</v>
      </c>
      <c r="D16" s="148" t="s">
        <v>114</v>
      </c>
      <c r="E16" s="181">
        <v>21000000</v>
      </c>
      <c r="F16" s="181">
        <f t="shared" si="0"/>
        <v>84000000</v>
      </c>
      <c r="G16" s="217"/>
      <c r="H16" s="217">
        <f t="shared" si="2"/>
        <v>31036681.767157976</v>
      </c>
      <c r="I16" s="217">
        <f t="shared" si="1"/>
        <v>0</v>
      </c>
      <c r="J16" s="217">
        <v>36002550.849903248</v>
      </c>
      <c r="K16" s="217">
        <v>144010203.39961299</v>
      </c>
      <c r="L16" s="436"/>
    </row>
    <row r="17" spans="1:12" x14ac:dyDescent="0.2">
      <c r="A17" s="158">
        <v>6</v>
      </c>
      <c r="B17" s="147" t="s">
        <v>107</v>
      </c>
      <c r="C17" s="254">
        <v>11</v>
      </c>
      <c r="D17" s="148" t="s">
        <v>123</v>
      </c>
      <c r="E17" s="181">
        <v>14500000</v>
      </c>
      <c r="F17" s="181">
        <f t="shared" si="0"/>
        <v>159500000</v>
      </c>
      <c r="G17" s="217"/>
      <c r="H17" s="217">
        <f t="shared" si="2"/>
        <v>18496315.789843459</v>
      </c>
      <c r="I17" s="217">
        <f t="shared" si="1"/>
        <v>0</v>
      </c>
      <c r="J17" s="217">
        <v>21455726.31621841</v>
      </c>
      <c r="K17" s="217">
        <v>236012989.4784025</v>
      </c>
      <c r="L17" s="436"/>
    </row>
    <row r="18" spans="1:12" x14ac:dyDescent="0.2">
      <c r="A18" s="158">
        <v>7</v>
      </c>
      <c r="B18" s="147" t="s">
        <v>151</v>
      </c>
      <c r="C18" s="254">
        <v>2</v>
      </c>
      <c r="D18" s="148" t="s">
        <v>252</v>
      </c>
      <c r="E18" s="181">
        <v>15400000</v>
      </c>
      <c r="F18" s="181">
        <f t="shared" si="0"/>
        <v>30800000</v>
      </c>
      <c r="G18" s="217"/>
      <c r="H18" s="217">
        <f t="shared" si="2"/>
        <v>8130796.9601137284</v>
      </c>
      <c r="I18" s="217">
        <f t="shared" si="1"/>
        <v>0</v>
      </c>
      <c r="J18" s="217">
        <v>9431724.4737319238</v>
      </c>
      <c r="K18" s="217">
        <v>18863448.947463848</v>
      </c>
      <c r="L18" s="436"/>
    </row>
    <row r="19" spans="1:12" ht="13.5" thickBot="1" x14ac:dyDescent="0.25">
      <c r="A19" s="158">
        <v>8</v>
      </c>
      <c r="B19" s="147" t="s">
        <v>176</v>
      </c>
      <c r="C19" s="254">
        <v>2</v>
      </c>
      <c r="D19" s="148" t="s">
        <v>252</v>
      </c>
      <c r="E19" s="181">
        <v>21000000</v>
      </c>
      <c r="F19" s="181">
        <f t="shared" si="0"/>
        <v>42000000</v>
      </c>
      <c r="G19" s="217"/>
      <c r="H19" s="217">
        <f t="shared" si="2"/>
        <v>14047300.334678441</v>
      </c>
      <c r="I19" s="217">
        <f t="shared" si="1"/>
        <v>0</v>
      </c>
      <c r="J19" s="217">
        <v>16294868.388226992</v>
      </c>
      <c r="K19" s="217">
        <v>32589736.776453983</v>
      </c>
      <c r="L19" s="436"/>
    </row>
    <row r="20" spans="1:12" x14ac:dyDescent="0.2">
      <c r="A20" s="158">
        <v>9</v>
      </c>
      <c r="B20" s="147" t="s">
        <v>144</v>
      </c>
      <c r="C20" s="256">
        <v>8</v>
      </c>
      <c r="D20" s="147" t="s">
        <v>145</v>
      </c>
      <c r="E20" s="183">
        <v>5000000</v>
      </c>
      <c r="F20" s="181">
        <f t="shared" si="0"/>
        <v>40000000</v>
      </c>
      <c r="G20" s="217"/>
      <c r="H20" s="217">
        <f t="shared" si="2"/>
        <v>1420646.2716492917</v>
      </c>
      <c r="I20" s="217">
        <f t="shared" si="1"/>
        <v>0</v>
      </c>
      <c r="J20" s="217">
        <v>1647949.6751131783</v>
      </c>
      <c r="K20" s="217">
        <v>13183597.400905427</v>
      </c>
      <c r="L20" s="436"/>
    </row>
    <row r="21" spans="1:12" ht="25.5" x14ac:dyDescent="0.2">
      <c r="A21" s="266"/>
      <c r="B21" s="272" t="s">
        <v>256</v>
      </c>
      <c r="C21" s="272"/>
      <c r="D21" s="272"/>
      <c r="E21" s="280"/>
      <c r="F21" s="280"/>
      <c r="G21" s="281"/>
      <c r="H21" s="281">
        <f t="shared" si="2"/>
        <v>0</v>
      </c>
      <c r="I21" s="281"/>
      <c r="J21" s="281">
        <v>0</v>
      </c>
      <c r="K21" s="281">
        <v>0</v>
      </c>
      <c r="L21" s="436"/>
    </row>
    <row r="22" spans="1:12" x14ac:dyDescent="0.2">
      <c r="A22" s="158">
        <v>1</v>
      </c>
      <c r="B22" s="156" t="s">
        <v>78</v>
      </c>
      <c r="C22" s="151">
        <v>1</v>
      </c>
      <c r="D22" s="159" t="s">
        <v>77</v>
      </c>
      <c r="E22" s="181">
        <v>650000</v>
      </c>
      <c r="F22" s="181">
        <f t="shared" ref="F22:F47" si="3">+E22*C22</f>
        <v>650000</v>
      </c>
      <c r="G22" s="217"/>
      <c r="H22" s="217">
        <f t="shared" si="2"/>
        <v>279269.16007630178</v>
      </c>
      <c r="I22" s="217">
        <f t="shared" ref="I22:I58" si="4">+G22*C22</f>
        <v>0</v>
      </c>
      <c r="J22" s="217">
        <v>323952.22568851005</v>
      </c>
      <c r="K22" s="217">
        <v>323952.22568851005</v>
      </c>
      <c r="L22" s="436"/>
    </row>
    <row r="23" spans="1:12" x14ac:dyDescent="0.2">
      <c r="A23" s="158">
        <f t="shared" ref="A23:A57" si="5">+A22+1</f>
        <v>2</v>
      </c>
      <c r="B23" s="156" t="s">
        <v>79</v>
      </c>
      <c r="C23" s="160">
        <v>5000</v>
      </c>
      <c r="D23" s="159" t="s">
        <v>77</v>
      </c>
      <c r="E23" s="181">
        <v>1300</v>
      </c>
      <c r="F23" s="181">
        <f t="shared" si="3"/>
        <v>6500000</v>
      </c>
      <c r="G23" s="217"/>
      <c r="H23" s="217">
        <f t="shared" si="2"/>
        <v>146.71896905617803</v>
      </c>
      <c r="I23" s="217">
        <f t="shared" si="4"/>
        <v>0</v>
      </c>
      <c r="J23" s="217">
        <v>170.1940041051665</v>
      </c>
      <c r="K23" s="217">
        <v>850970.02052583254</v>
      </c>
      <c r="L23" s="436"/>
    </row>
    <row r="24" spans="1:12" x14ac:dyDescent="0.2">
      <c r="A24" s="158">
        <f t="shared" si="5"/>
        <v>3</v>
      </c>
      <c r="B24" s="156" t="s">
        <v>80</v>
      </c>
      <c r="C24" s="151">
        <v>1</v>
      </c>
      <c r="D24" s="159" t="s">
        <v>77</v>
      </c>
      <c r="E24" s="181">
        <v>2100000</v>
      </c>
      <c r="F24" s="181">
        <f t="shared" si="3"/>
        <v>2100000</v>
      </c>
      <c r="G24" s="217"/>
      <c r="H24" s="217">
        <f t="shared" si="2"/>
        <v>1384496.8207061568</v>
      </c>
      <c r="I24" s="217">
        <f t="shared" si="4"/>
        <v>0</v>
      </c>
      <c r="J24" s="217">
        <v>1606016.3120191419</v>
      </c>
      <c r="K24" s="217">
        <v>1606016.3120191419</v>
      </c>
      <c r="L24" s="436"/>
    </row>
    <row r="25" spans="1:12" x14ac:dyDescent="0.2">
      <c r="A25" s="158">
        <f t="shared" si="5"/>
        <v>4</v>
      </c>
      <c r="B25" s="156" t="s">
        <v>81</v>
      </c>
      <c r="C25" s="151">
        <v>2</v>
      </c>
      <c r="D25" s="159" t="s">
        <v>77</v>
      </c>
      <c r="E25" s="181">
        <v>1500000</v>
      </c>
      <c r="F25" s="181">
        <f t="shared" si="3"/>
        <v>3000000</v>
      </c>
      <c r="G25" s="217"/>
      <c r="H25" s="217">
        <f t="shared" si="2"/>
        <v>950298.14569779788</v>
      </c>
      <c r="I25" s="217">
        <f t="shared" si="4"/>
        <v>0</v>
      </c>
      <c r="J25" s="217">
        <v>1102345.8490094454</v>
      </c>
      <c r="K25" s="217">
        <v>2204691.6980188908</v>
      </c>
      <c r="L25" s="436"/>
    </row>
    <row r="26" spans="1:12" x14ac:dyDescent="0.2">
      <c r="A26" s="158">
        <f t="shared" si="5"/>
        <v>5</v>
      </c>
      <c r="B26" s="156" t="s">
        <v>82</v>
      </c>
      <c r="C26" s="151">
        <v>1</v>
      </c>
      <c r="D26" s="159" t="s">
        <v>77</v>
      </c>
      <c r="E26" s="181">
        <v>1400000</v>
      </c>
      <c r="F26" s="181">
        <f t="shared" si="3"/>
        <v>1400000</v>
      </c>
      <c r="G26" s="217"/>
      <c r="H26" s="217">
        <f t="shared" si="2"/>
        <v>723060.61347412562</v>
      </c>
      <c r="I26" s="217">
        <f t="shared" si="4"/>
        <v>0</v>
      </c>
      <c r="J26" s="217">
        <v>838750.31162998569</v>
      </c>
      <c r="K26" s="217">
        <v>838750.31162998569</v>
      </c>
      <c r="L26" s="436"/>
    </row>
    <row r="27" spans="1:12" ht="25.5" x14ac:dyDescent="0.2">
      <c r="A27" s="158">
        <f t="shared" si="5"/>
        <v>6</v>
      </c>
      <c r="B27" s="156" t="s">
        <v>137</v>
      </c>
      <c r="C27" s="151">
        <v>1</v>
      </c>
      <c r="D27" s="159" t="s">
        <v>77</v>
      </c>
      <c r="E27" s="181">
        <v>600000</v>
      </c>
      <c r="F27" s="181">
        <f t="shared" si="3"/>
        <v>600000</v>
      </c>
      <c r="G27" s="217"/>
      <c r="H27" s="217">
        <f t="shared" si="2"/>
        <v>551647.6291543449</v>
      </c>
      <c r="I27" s="217">
        <f t="shared" si="4"/>
        <v>0</v>
      </c>
      <c r="J27" s="217">
        <v>639911.24981904007</v>
      </c>
      <c r="K27" s="217">
        <v>639911.24981904007</v>
      </c>
      <c r="L27" s="436"/>
    </row>
    <row r="28" spans="1:12" ht="25.5" x14ac:dyDescent="0.2">
      <c r="A28" s="158">
        <f t="shared" si="5"/>
        <v>7</v>
      </c>
      <c r="B28" s="156" t="s">
        <v>138</v>
      </c>
      <c r="C28" s="160">
        <v>5000</v>
      </c>
      <c r="D28" s="159" t="s">
        <v>77</v>
      </c>
      <c r="E28" s="184">
        <v>310</v>
      </c>
      <c r="F28" s="181">
        <f t="shared" si="3"/>
        <v>1550000</v>
      </c>
      <c r="G28" s="217"/>
      <c r="H28" s="217">
        <f t="shared" si="2"/>
        <v>154.55337104014498</v>
      </c>
      <c r="I28" s="217">
        <f t="shared" si="4"/>
        <v>0</v>
      </c>
      <c r="J28" s="217">
        <v>179.28191040656816</v>
      </c>
      <c r="K28" s="217">
        <v>896409.55203284079</v>
      </c>
      <c r="L28" s="436"/>
    </row>
    <row r="29" spans="1:12" x14ac:dyDescent="0.2">
      <c r="A29" s="158">
        <f t="shared" si="5"/>
        <v>8</v>
      </c>
      <c r="B29" s="156" t="s">
        <v>139</v>
      </c>
      <c r="C29" s="151">
        <v>1</v>
      </c>
      <c r="D29" s="159" t="s">
        <v>77</v>
      </c>
      <c r="E29" s="181">
        <v>900000</v>
      </c>
      <c r="F29" s="181">
        <f t="shared" si="3"/>
        <v>900000</v>
      </c>
      <c r="G29" s="217"/>
      <c r="H29" s="217">
        <f t="shared" si="2"/>
        <v>871265.19784883375</v>
      </c>
      <c r="I29" s="217">
        <f t="shared" si="4"/>
        <v>0</v>
      </c>
      <c r="J29" s="217">
        <v>1010667.6295046471</v>
      </c>
      <c r="K29" s="217">
        <v>1010667.6295046471</v>
      </c>
      <c r="L29" s="436"/>
    </row>
    <row r="30" spans="1:12" x14ac:dyDescent="0.2">
      <c r="A30" s="158">
        <f t="shared" si="5"/>
        <v>9</v>
      </c>
      <c r="B30" s="156" t="s">
        <v>303</v>
      </c>
      <c r="C30" s="160">
        <v>10000</v>
      </c>
      <c r="D30" s="159" t="s">
        <v>77</v>
      </c>
      <c r="E30" s="184">
        <v>360</v>
      </c>
      <c r="F30" s="181">
        <f t="shared" si="3"/>
        <v>3600000</v>
      </c>
      <c r="G30" s="217"/>
      <c r="H30" s="217">
        <f t="shared" si="2"/>
        <v>273.93723561220258</v>
      </c>
      <c r="I30" s="217">
        <f t="shared" si="4"/>
        <v>0</v>
      </c>
      <c r="J30" s="217">
        <v>317.76719331015499</v>
      </c>
      <c r="K30" s="217">
        <v>3177671.9331015497</v>
      </c>
      <c r="L30" s="436"/>
    </row>
    <row r="31" spans="1:12" x14ac:dyDescent="0.2">
      <c r="A31" s="158">
        <f t="shared" si="5"/>
        <v>10</v>
      </c>
      <c r="B31" s="156" t="s">
        <v>304</v>
      </c>
      <c r="C31" s="151">
        <v>1</v>
      </c>
      <c r="D31" s="159" t="s">
        <v>77</v>
      </c>
      <c r="E31" s="181">
        <v>1200000</v>
      </c>
      <c r="F31" s="181">
        <f t="shared" si="3"/>
        <v>1200000</v>
      </c>
      <c r="G31" s="217"/>
      <c r="H31" s="217">
        <f t="shared" si="2"/>
        <v>145551.24853822947</v>
      </c>
      <c r="I31" s="217">
        <f t="shared" si="4"/>
        <v>0</v>
      </c>
      <c r="J31" s="217">
        <v>168839.44830434618</v>
      </c>
      <c r="K31" s="217">
        <v>168839.44830434618</v>
      </c>
      <c r="L31" s="436"/>
    </row>
    <row r="32" spans="1:12" ht="25.5" x14ac:dyDescent="0.2">
      <c r="A32" s="158">
        <f t="shared" si="5"/>
        <v>11</v>
      </c>
      <c r="B32" s="156" t="s">
        <v>142</v>
      </c>
      <c r="C32" s="160">
        <v>5000</v>
      </c>
      <c r="D32" s="159" t="s">
        <v>77</v>
      </c>
      <c r="E32" s="184">
        <v>360</v>
      </c>
      <c r="F32" s="181">
        <f t="shared" si="3"/>
        <v>1800000</v>
      </c>
      <c r="G32" s="217"/>
      <c r="H32" s="217">
        <f t="shared" si="2"/>
        <v>268.16863629624333</v>
      </c>
      <c r="I32" s="217">
        <f t="shared" si="4"/>
        <v>0</v>
      </c>
      <c r="J32" s="217">
        <v>311.07561810364223</v>
      </c>
      <c r="K32" s="217">
        <v>1555378.0905182112</v>
      </c>
      <c r="L32" s="436"/>
    </row>
    <row r="33" spans="1:12" x14ac:dyDescent="0.2">
      <c r="A33" s="158">
        <f t="shared" si="5"/>
        <v>12</v>
      </c>
      <c r="B33" s="156" t="s">
        <v>133</v>
      </c>
      <c r="C33" s="160">
        <v>12500</v>
      </c>
      <c r="D33" s="159" t="s">
        <v>77</v>
      </c>
      <c r="E33" s="181">
        <v>3500</v>
      </c>
      <c r="F33" s="181">
        <f t="shared" si="3"/>
        <v>43750000</v>
      </c>
      <c r="G33" s="217"/>
      <c r="H33" s="217">
        <f t="shared" si="2"/>
        <v>1557.1360589605911</v>
      </c>
      <c r="I33" s="217">
        <f t="shared" si="4"/>
        <v>0</v>
      </c>
      <c r="J33" s="217">
        <v>1806.2778283942855</v>
      </c>
      <c r="K33" s="217">
        <v>22578472.854928568</v>
      </c>
      <c r="L33" s="436"/>
    </row>
    <row r="34" spans="1:12" ht="13.5" customHeight="1" x14ac:dyDescent="0.2">
      <c r="A34" s="158">
        <f t="shared" si="5"/>
        <v>13</v>
      </c>
      <c r="B34" s="156" t="s">
        <v>188</v>
      </c>
      <c r="C34" s="160">
        <v>100</v>
      </c>
      <c r="D34" s="159" t="s">
        <v>77</v>
      </c>
      <c r="E34" s="181">
        <v>1800</v>
      </c>
      <c r="F34" s="181">
        <f t="shared" si="3"/>
        <v>180000</v>
      </c>
      <c r="G34" s="217"/>
      <c r="H34" s="217">
        <f t="shared" si="2"/>
        <v>23658.812963314012</v>
      </c>
      <c r="I34" s="217">
        <f t="shared" si="4"/>
        <v>0</v>
      </c>
      <c r="J34" s="217">
        <v>27444.223037444252</v>
      </c>
      <c r="K34" s="217">
        <v>2744422.3037444251</v>
      </c>
      <c r="L34" s="436"/>
    </row>
    <row r="35" spans="1:12" x14ac:dyDescent="0.2">
      <c r="A35" s="158">
        <f t="shared" si="5"/>
        <v>14</v>
      </c>
      <c r="B35" s="156" t="s">
        <v>124</v>
      </c>
      <c r="C35" s="160">
        <v>1</v>
      </c>
      <c r="D35" s="159" t="s">
        <v>77</v>
      </c>
      <c r="E35" s="181">
        <v>800000</v>
      </c>
      <c r="F35" s="181">
        <f t="shared" si="3"/>
        <v>800000</v>
      </c>
      <c r="G35" s="217"/>
      <c r="H35" s="217">
        <f t="shared" si="2"/>
        <v>572018.08528763254</v>
      </c>
      <c r="I35" s="217">
        <f t="shared" si="4"/>
        <v>0</v>
      </c>
      <c r="J35" s="217">
        <v>663540.97893365368</v>
      </c>
      <c r="K35" s="217">
        <v>663540.97893365368</v>
      </c>
      <c r="L35" s="436"/>
    </row>
    <row r="36" spans="1:12" ht="25.5" x14ac:dyDescent="0.2">
      <c r="A36" s="158">
        <f t="shared" si="5"/>
        <v>15</v>
      </c>
      <c r="B36" s="161" t="s">
        <v>125</v>
      </c>
      <c r="C36" s="160">
        <v>215</v>
      </c>
      <c r="D36" s="159" t="s">
        <v>77</v>
      </c>
      <c r="E36" s="181">
        <v>5400</v>
      </c>
      <c r="F36" s="181">
        <f t="shared" si="3"/>
        <v>1161000</v>
      </c>
      <c r="G36" s="217"/>
      <c r="H36" s="217">
        <f t="shared" si="2"/>
        <v>9629.4575865400257</v>
      </c>
      <c r="I36" s="217">
        <f t="shared" si="4"/>
        <v>0</v>
      </c>
      <c r="J36" s="217">
        <v>11170.17080038643</v>
      </c>
      <c r="K36" s="217">
        <v>2401586.7220830824</v>
      </c>
      <c r="L36" s="436"/>
    </row>
    <row r="37" spans="1:12" x14ac:dyDescent="0.2">
      <c r="A37" s="158">
        <f t="shared" si="5"/>
        <v>16</v>
      </c>
      <c r="B37" s="161" t="s">
        <v>126</v>
      </c>
      <c r="C37" s="151">
        <v>1</v>
      </c>
      <c r="D37" s="159" t="s">
        <v>77</v>
      </c>
      <c r="E37" s="181">
        <v>775000</v>
      </c>
      <c r="F37" s="181">
        <f t="shared" si="3"/>
        <v>775000</v>
      </c>
      <c r="G37" s="217"/>
      <c r="H37" s="217">
        <f t="shared" si="2"/>
        <v>302923.2121158932</v>
      </c>
      <c r="I37" s="217">
        <f t="shared" si="4"/>
        <v>0</v>
      </c>
      <c r="J37" s="217">
        <v>351390.92605443607</v>
      </c>
      <c r="K37" s="217">
        <v>351390.92605443607</v>
      </c>
      <c r="L37" s="436"/>
    </row>
    <row r="38" spans="1:12" x14ac:dyDescent="0.2">
      <c r="A38" s="158">
        <f t="shared" si="5"/>
        <v>17</v>
      </c>
      <c r="B38" s="161" t="s">
        <v>134</v>
      </c>
      <c r="C38" s="160">
        <v>498</v>
      </c>
      <c r="D38" s="159" t="s">
        <v>77</v>
      </c>
      <c r="E38" s="181">
        <v>4000</v>
      </c>
      <c r="F38" s="181">
        <f t="shared" si="3"/>
        <v>1992000</v>
      </c>
      <c r="G38" s="217"/>
      <c r="H38" s="217">
        <f t="shared" si="2"/>
        <v>3917.7201363299669</v>
      </c>
      <c r="I38" s="217">
        <f t="shared" si="4"/>
        <v>0</v>
      </c>
      <c r="J38" s="217">
        <v>4544.5553581427612</v>
      </c>
      <c r="K38" s="217">
        <v>2263188.5683550951</v>
      </c>
      <c r="L38" s="436"/>
    </row>
    <row r="39" spans="1:12" x14ac:dyDescent="0.2">
      <c r="A39" s="158">
        <f t="shared" si="5"/>
        <v>18</v>
      </c>
      <c r="B39" s="156" t="s">
        <v>83</v>
      </c>
      <c r="C39" s="151">
        <v>5</v>
      </c>
      <c r="D39" s="159" t="s">
        <v>77</v>
      </c>
      <c r="E39" s="181">
        <v>650000</v>
      </c>
      <c r="F39" s="181">
        <f t="shared" si="3"/>
        <v>3250000</v>
      </c>
      <c r="G39" s="217"/>
      <c r="H39" s="217">
        <f t="shared" si="2"/>
        <v>272880.97780457087</v>
      </c>
      <c r="I39" s="217">
        <f t="shared" si="4"/>
        <v>0</v>
      </c>
      <c r="J39" s="217">
        <v>316541.93425330217</v>
      </c>
      <c r="K39" s="217">
        <v>1582709.6712665108</v>
      </c>
      <c r="L39" s="436"/>
    </row>
    <row r="40" spans="1:12" x14ac:dyDescent="0.2">
      <c r="A40" s="158">
        <f t="shared" si="5"/>
        <v>19</v>
      </c>
      <c r="B40" s="156" t="s">
        <v>135</v>
      </c>
      <c r="C40" s="148">
        <v>5</v>
      </c>
      <c r="D40" s="159" t="s">
        <v>77</v>
      </c>
      <c r="E40" s="181">
        <v>290000</v>
      </c>
      <c r="F40" s="181">
        <f t="shared" si="3"/>
        <v>1450000</v>
      </c>
      <c r="G40" s="217"/>
      <c r="H40" s="217">
        <f t="shared" si="2"/>
        <v>173017.95396883809</v>
      </c>
      <c r="I40" s="217">
        <f t="shared" si="4"/>
        <v>0</v>
      </c>
      <c r="J40" s="217">
        <v>200700.82660385215</v>
      </c>
      <c r="K40" s="217">
        <v>1003504.1330192608</v>
      </c>
      <c r="L40" s="436"/>
    </row>
    <row r="41" spans="1:12" x14ac:dyDescent="0.2">
      <c r="A41" s="158">
        <f t="shared" si="5"/>
        <v>20</v>
      </c>
      <c r="B41" s="156" t="s">
        <v>84</v>
      </c>
      <c r="C41" s="151">
        <v>1</v>
      </c>
      <c r="D41" s="159" t="s">
        <v>77</v>
      </c>
      <c r="E41" s="181">
        <v>650000</v>
      </c>
      <c r="F41" s="181">
        <f t="shared" si="3"/>
        <v>650000</v>
      </c>
      <c r="G41" s="217"/>
      <c r="H41" s="217">
        <f t="shared" si="2"/>
        <v>278973.08974650042</v>
      </c>
      <c r="I41" s="217">
        <f t="shared" si="4"/>
        <v>0</v>
      </c>
      <c r="J41" s="217">
        <v>323608.78410594049</v>
      </c>
      <c r="K41" s="217">
        <v>323608.78410594049</v>
      </c>
      <c r="L41" s="436"/>
    </row>
    <row r="42" spans="1:12" x14ac:dyDescent="0.2">
      <c r="A42" s="158">
        <f t="shared" si="5"/>
        <v>21</v>
      </c>
      <c r="B42" s="156" t="s">
        <v>85</v>
      </c>
      <c r="C42" s="151">
        <v>1</v>
      </c>
      <c r="D42" s="159" t="s">
        <v>77</v>
      </c>
      <c r="E42" s="181">
        <v>390000</v>
      </c>
      <c r="F42" s="181">
        <f t="shared" si="3"/>
        <v>390000</v>
      </c>
      <c r="G42" s="217"/>
      <c r="H42" s="217">
        <f t="shared" si="2"/>
        <v>320797.2081387153</v>
      </c>
      <c r="I42" s="217">
        <f t="shared" si="4"/>
        <v>0</v>
      </c>
      <c r="J42" s="217">
        <v>372124.7614409097</v>
      </c>
      <c r="K42" s="217">
        <v>372124.7614409097</v>
      </c>
      <c r="L42" s="436"/>
    </row>
    <row r="43" spans="1:12" x14ac:dyDescent="0.2">
      <c r="A43" s="158">
        <f t="shared" si="5"/>
        <v>22</v>
      </c>
      <c r="B43" s="156" t="s">
        <v>86</v>
      </c>
      <c r="C43" s="151">
        <v>2</v>
      </c>
      <c r="D43" s="159" t="s">
        <v>77</v>
      </c>
      <c r="E43" s="181">
        <v>730000</v>
      </c>
      <c r="F43" s="181">
        <f t="shared" si="3"/>
        <v>1460000</v>
      </c>
      <c r="G43" s="217"/>
      <c r="H43" s="217">
        <f t="shared" si="2"/>
        <v>322353.95588620647</v>
      </c>
      <c r="I43" s="217">
        <f t="shared" si="4"/>
        <v>0</v>
      </c>
      <c r="J43" s="217">
        <v>373930.58882799948</v>
      </c>
      <c r="K43" s="217">
        <v>747861.17765599897</v>
      </c>
      <c r="L43" s="436"/>
    </row>
    <row r="44" spans="1:12" x14ac:dyDescent="0.2">
      <c r="A44" s="158">
        <f t="shared" si="5"/>
        <v>23</v>
      </c>
      <c r="B44" s="156" t="s">
        <v>87</v>
      </c>
      <c r="C44" s="151">
        <v>1</v>
      </c>
      <c r="D44" s="159" t="s">
        <v>77</v>
      </c>
      <c r="E44" s="181">
        <v>280000</v>
      </c>
      <c r="F44" s="181">
        <f t="shared" si="3"/>
        <v>280000</v>
      </c>
      <c r="G44" s="217"/>
      <c r="H44" s="217">
        <f t="shared" si="2"/>
        <v>267072.046317111</v>
      </c>
      <c r="I44" s="217">
        <f t="shared" si="4"/>
        <v>0</v>
      </c>
      <c r="J44" s="217">
        <v>309803.57372784876</v>
      </c>
      <c r="K44" s="217">
        <v>309803.57372784876</v>
      </c>
      <c r="L44" s="436"/>
    </row>
    <row r="45" spans="1:12" x14ac:dyDescent="0.2">
      <c r="A45" s="158">
        <f t="shared" si="5"/>
        <v>24</v>
      </c>
      <c r="B45" s="156" t="s">
        <v>88</v>
      </c>
      <c r="C45" s="151">
        <v>1</v>
      </c>
      <c r="D45" s="159" t="s">
        <v>77</v>
      </c>
      <c r="E45" s="181">
        <v>730000</v>
      </c>
      <c r="F45" s="181">
        <f t="shared" si="3"/>
        <v>730000</v>
      </c>
      <c r="G45" s="217"/>
      <c r="H45" s="217">
        <f t="shared" si="2"/>
        <v>571178.43543076527</v>
      </c>
      <c r="I45" s="217">
        <f t="shared" si="4"/>
        <v>0</v>
      </c>
      <c r="J45" s="217">
        <v>662566.98509968771</v>
      </c>
      <c r="K45" s="217">
        <v>662566.98509968771</v>
      </c>
      <c r="L45" s="436"/>
    </row>
    <row r="46" spans="1:12" x14ac:dyDescent="0.2">
      <c r="A46" s="158">
        <f t="shared" si="5"/>
        <v>25</v>
      </c>
      <c r="B46" s="156" t="s">
        <v>89</v>
      </c>
      <c r="C46" s="151">
        <v>2</v>
      </c>
      <c r="D46" s="159" t="s">
        <v>77</v>
      </c>
      <c r="E46" s="181">
        <v>540000</v>
      </c>
      <c r="F46" s="181">
        <f t="shared" si="3"/>
        <v>1080000</v>
      </c>
      <c r="G46" s="217"/>
      <c r="H46" s="217">
        <f t="shared" si="2"/>
        <v>510296.60149590869</v>
      </c>
      <c r="I46" s="217">
        <f t="shared" si="4"/>
        <v>0</v>
      </c>
      <c r="J46" s="217">
        <v>591944.05773525406</v>
      </c>
      <c r="K46" s="217">
        <v>1183888.1154705081</v>
      </c>
      <c r="L46" s="436"/>
    </row>
    <row r="47" spans="1:12" x14ac:dyDescent="0.2">
      <c r="A47" s="158">
        <f>+A46+1</f>
        <v>26</v>
      </c>
      <c r="B47" s="156" t="s">
        <v>90</v>
      </c>
      <c r="C47" s="151">
        <v>1</v>
      </c>
      <c r="D47" s="159" t="s">
        <v>77</v>
      </c>
      <c r="E47" s="181">
        <v>790000</v>
      </c>
      <c r="F47" s="181">
        <f t="shared" si="3"/>
        <v>790000</v>
      </c>
      <c r="G47" s="217"/>
      <c r="H47" s="217">
        <f t="shared" si="2"/>
        <v>561214.31993682333</v>
      </c>
      <c r="I47" s="217">
        <f t="shared" si="4"/>
        <v>0</v>
      </c>
      <c r="J47" s="217">
        <v>651008.61112671508</v>
      </c>
      <c r="K47" s="217">
        <v>651008.61112671508</v>
      </c>
      <c r="L47" s="436"/>
    </row>
    <row r="48" spans="1:12" x14ac:dyDescent="0.2">
      <c r="A48" s="158">
        <f t="shared" si="5"/>
        <v>27</v>
      </c>
      <c r="B48" s="156" t="s">
        <v>91</v>
      </c>
      <c r="C48" s="151">
        <v>1</v>
      </c>
      <c r="D48" s="159" t="s">
        <v>77</v>
      </c>
      <c r="E48" s="181" t="s">
        <v>190</v>
      </c>
      <c r="F48" s="181" t="s">
        <v>190</v>
      </c>
      <c r="G48" s="217"/>
      <c r="H48" s="217">
        <f t="shared" si="2"/>
        <v>551061.65831993555</v>
      </c>
      <c r="I48" s="217">
        <f t="shared" si="4"/>
        <v>0</v>
      </c>
      <c r="J48" s="217">
        <v>639231.52365112514</v>
      </c>
      <c r="K48" s="217">
        <v>639231.52365112514</v>
      </c>
      <c r="L48" s="436"/>
    </row>
    <row r="49" spans="1:12" x14ac:dyDescent="0.2">
      <c r="A49" s="158">
        <f t="shared" si="5"/>
        <v>28</v>
      </c>
      <c r="B49" s="156" t="s">
        <v>92</v>
      </c>
      <c r="C49" s="151">
        <v>1</v>
      </c>
      <c r="D49" s="159" t="s">
        <v>77</v>
      </c>
      <c r="E49" s="181">
        <v>920000</v>
      </c>
      <c r="F49" s="181">
        <f>+E49*C49</f>
        <v>920000</v>
      </c>
      <c r="G49" s="217"/>
      <c r="H49" s="217">
        <f t="shared" si="2"/>
        <v>787803.43633934529</v>
      </c>
      <c r="I49" s="217">
        <f t="shared" si="4"/>
        <v>0</v>
      </c>
      <c r="J49" s="217">
        <v>913851.98615364044</v>
      </c>
      <c r="K49" s="217">
        <v>913851.98615364044</v>
      </c>
      <c r="L49" s="436"/>
    </row>
    <row r="50" spans="1:12" x14ac:dyDescent="0.2">
      <c r="A50" s="158">
        <f t="shared" si="5"/>
        <v>29</v>
      </c>
      <c r="B50" s="156" t="s">
        <v>93</v>
      </c>
      <c r="C50" s="151">
        <v>1</v>
      </c>
      <c r="D50" s="159" t="s">
        <v>77</v>
      </c>
      <c r="E50" s="181" t="s">
        <v>190</v>
      </c>
      <c r="F50" s="181" t="s">
        <v>190</v>
      </c>
      <c r="G50" s="217"/>
      <c r="H50" s="217">
        <f t="shared" si="2"/>
        <v>598814.09861085005</v>
      </c>
      <c r="I50" s="217">
        <f t="shared" si="4"/>
        <v>0</v>
      </c>
      <c r="J50" s="217">
        <v>694624.35438858601</v>
      </c>
      <c r="K50" s="217">
        <v>694624.35438858601</v>
      </c>
      <c r="L50" s="436"/>
    </row>
    <row r="51" spans="1:12" x14ac:dyDescent="0.2">
      <c r="A51" s="158">
        <f t="shared" si="5"/>
        <v>30</v>
      </c>
      <c r="B51" s="156" t="s">
        <v>94</v>
      </c>
      <c r="C51" s="151">
        <v>2</v>
      </c>
      <c r="D51" s="159" t="s">
        <v>77</v>
      </c>
      <c r="E51" s="181">
        <v>920000</v>
      </c>
      <c r="F51" s="181">
        <f>+E51*C51</f>
        <v>1840000</v>
      </c>
      <c r="G51" s="217"/>
      <c r="H51" s="217">
        <f t="shared" si="2"/>
        <v>692799.58797825163</v>
      </c>
      <c r="I51" s="217">
        <f t="shared" si="4"/>
        <v>0</v>
      </c>
      <c r="J51" s="217">
        <v>803647.52205477178</v>
      </c>
      <c r="K51" s="217">
        <v>1607295.0441095436</v>
      </c>
      <c r="L51" s="436"/>
    </row>
    <row r="52" spans="1:12" x14ac:dyDescent="0.2">
      <c r="A52" s="158">
        <f t="shared" si="5"/>
        <v>31</v>
      </c>
      <c r="B52" s="156" t="s">
        <v>95</v>
      </c>
      <c r="C52" s="151">
        <v>2</v>
      </c>
      <c r="D52" s="159" t="s">
        <v>77</v>
      </c>
      <c r="E52" s="181" t="s">
        <v>190</v>
      </c>
      <c r="F52" s="181" t="s">
        <v>190</v>
      </c>
      <c r="G52" s="217"/>
      <c r="H52" s="217">
        <f t="shared" si="2"/>
        <v>1074479.747562774</v>
      </c>
      <c r="I52" s="217">
        <f t="shared" si="4"/>
        <v>0</v>
      </c>
      <c r="J52" s="217">
        <v>1246396.5071728178</v>
      </c>
      <c r="K52" s="217">
        <v>2492793.0143456357</v>
      </c>
      <c r="L52" s="436"/>
    </row>
    <row r="53" spans="1:12" hidden="1" x14ac:dyDescent="0.2">
      <c r="A53" s="158">
        <f t="shared" si="5"/>
        <v>32</v>
      </c>
      <c r="B53" s="156" t="s">
        <v>96</v>
      </c>
      <c r="C53" s="151">
        <v>1</v>
      </c>
      <c r="D53" s="159" t="s">
        <v>77</v>
      </c>
      <c r="E53" s="181"/>
      <c r="F53" s="181">
        <f t="shared" ref="F53:F58" si="6">+E53*C53</f>
        <v>0</v>
      </c>
      <c r="G53" s="217"/>
      <c r="H53" s="217">
        <f t="shared" si="2"/>
        <v>0</v>
      </c>
      <c r="I53" s="217">
        <f t="shared" si="4"/>
        <v>0</v>
      </c>
      <c r="J53" s="217"/>
      <c r="K53" s="217"/>
      <c r="L53" s="436"/>
    </row>
    <row r="54" spans="1:12" hidden="1" x14ac:dyDescent="0.2">
      <c r="A54" s="158">
        <f t="shared" si="5"/>
        <v>33</v>
      </c>
      <c r="B54" s="156" t="s">
        <v>97</v>
      </c>
      <c r="C54" s="151">
        <v>1</v>
      </c>
      <c r="D54" s="159" t="s">
        <v>77</v>
      </c>
      <c r="E54" s="181"/>
      <c r="F54" s="181">
        <f t="shared" si="6"/>
        <v>0</v>
      </c>
      <c r="G54" s="217"/>
      <c r="H54" s="217">
        <f t="shared" si="2"/>
        <v>0</v>
      </c>
      <c r="I54" s="217">
        <f t="shared" si="4"/>
        <v>0</v>
      </c>
      <c r="J54" s="217"/>
      <c r="K54" s="217"/>
      <c r="L54" s="436"/>
    </row>
    <row r="55" spans="1:12" hidden="1" x14ac:dyDescent="0.2">
      <c r="A55" s="158">
        <f t="shared" si="5"/>
        <v>34</v>
      </c>
      <c r="B55" s="156" t="s">
        <v>98</v>
      </c>
      <c r="C55" s="151">
        <v>1</v>
      </c>
      <c r="D55" s="159" t="s">
        <v>77</v>
      </c>
      <c r="E55" s="181"/>
      <c r="F55" s="181">
        <f t="shared" si="6"/>
        <v>0</v>
      </c>
      <c r="G55" s="217"/>
      <c r="H55" s="217">
        <f t="shared" si="2"/>
        <v>0</v>
      </c>
      <c r="I55" s="217">
        <f t="shared" si="4"/>
        <v>0</v>
      </c>
      <c r="J55" s="217"/>
      <c r="K55" s="217"/>
      <c r="L55" s="436"/>
    </row>
    <row r="56" spans="1:12" hidden="1" x14ac:dyDescent="0.2">
      <c r="A56" s="158">
        <f t="shared" si="5"/>
        <v>35</v>
      </c>
      <c r="B56" s="156" t="s">
        <v>99</v>
      </c>
      <c r="C56" s="151">
        <v>1</v>
      </c>
      <c r="D56" s="159" t="s">
        <v>77</v>
      </c>
      <c r="E56" s="181"/>
      <c r="F56" s="181">
        <f t="shared" si="6"/>
        <v>0</v>
      </c>
      <c r="G56" s="217"/>
      <c r="H56" s="217">
        <f t="shared" si="2"/>
        <v>0</v>
      </c>
      <c r="I56" s="217">
        <f t="shared" si="4"/>
        <v>0</v>
      </c>
      <c r="J56" s="217"/>
      <c r="K56" s="217"/>
      <c r="L56" s="436"/>
    </row>
    <row r="57" spans="1:12" hidden="1" x14ac:dyDescent="0.2">
      <c r="A57" s="158">
        <f t="shared" si="5"/>
        <v>36</v>
      </c>
      <c r="B57" s="156" t="s">
        <v>100</v>
      </c>
      <c r="C57" s="151">
        <v>1</v>
      </c>
      <c r="D57" s="159" t="s">
        <v>77</v>
      </c>
      <c r="E57" s="181"/>
      <c r="F57" s="181">
        <f t="shared" si="6"/>
        <v>0</v>
      </c>
      <c r="G57" s="217"/>
      <c r="H57" s="217">
        <f t="shared" si="2"/>
        <v>0</v>
      </c>
      <c r="I57" s="217">
        <f t="shared" si="4"/>
        <v>0</v>
      </c>
      <c r="J57" s="217"/>
      <c r="K57" s="217"/>
      <c r="L57" s="436"/>
    </row>
    <row r="58" spans="1:12" x14ac:dyDescent="0.2">
      <c r="A58" s="158">
        <v>32</v>
      </c>
      <c r="B58" s="156" t="s">
        <v>155</v>
      </c>
      <c r="C58" s="151">
        <v>12500</v>
      </c>
      <c r="D58" s="159" t="s">
        <v>77</v>
      </c>
      <c r="E58" s="181">
        <v>3200</v>
      </c>
      <c r="F58" s="181">
        <f t="shared" si="6"/>
        <v>40000000</v>
      </c>
      <c r="G58" s="217"/>
      <c r="H58" s="217">
        <f t="shared" si="2"/>
        <v>3218.9471974297753</v>
      </c>
      <c r="I58" s="217">
        <f t="shared" si="4"/>
        <v>0</v>
      </c>
      <c r="J58" s="217">
        <v>3733.978749018539</v>
      </c>
      <c r="K58" s="217">
        <v>46674734.36273174</v>
      </c>
      <c r="L58" s="436"/>
    </row>
    <row r="59" spans="1:12" x14ac:dyDescent="0.2">
      <c r="A59" s="271"/>
      <c r="B59" s="539" t="s">
        <v>257</v>
      </c>
      <c r="C59" s="540"/>
      <c r="D59" s="540"/>
      <c r="E59" s="540"/>
      <c r="F59" s="541"/>
      <c r="G59" s="279"/>
      <c r="H59" s="279">
        <f t="shared" si="2"/>
        <v>0</v>
      </c>
      <c r="I59" s="279"/>
      <c r="J59" s="279"/>
      <c r="K59" s="279">
        <v>0</v>
      </c>
      <c r="L59" s="436"/>
    </row>
    <row r="60" spans="1:12" ht="25.5" x14ac:dyDescent="0.2">
      <c r="A60" s="158">
        <v>1</v>
      </c>
      <c r="B60" s="156" t="s">
        <v>163</v>
      </c>
      <c r="C60" s="160">
        <v>1</v>
      </c>
      <c r="D60" s="159" t="s">
        <v>77</v>
      </c>
      <c r="E60" s="181">
        <v>1200000</v>
      </c>
      <c r="F60" s="181">
        <v>1200000</v>
      </c>
      <c r="G60" s="217"/>
      <c r="H60" s="217">
        <f t="shared" si="2"/>
        <v>624009.51559580967</v>
      </c>
      <c r="I60" s="217">
        <f>+G60*C60</f>
        <v>0</v>
      </c>
      <c r="J60" s="217">
        <v>723851.03809113917</v>
      </c>
      <c r="K60" s="217">
        <v>723851.03809113917</v>
      </c>
      <c r="L60" s="436"/>
    </row>
    <row r="61" spans="1:12" ht="25.5" x14ac:dyDescent="0.2">
      <c r="A61" s="158">
        <v>2</v>
      </c>
      <c r="B61" s="156" t="s">
        <v>164</v>
      </c>
      <c r="C61" s="160">
        <v>12500</v>
      </c>
      <c r="D61" s="159" t="s">
        <v>77</v>
      </c>
      <c r="E61" s="181">
        <v>270</v>
      </c>
      <c r="F61" s="181">
        <f>+E61*C61</f>
        <v>3375000</v>
      </c>
      <c r="G61" s="217"/>
      <c r="H61" s="217">
        <f t="shared" si="2"/>
        <v>577.31958718782721</v>
      </c>
      <c r="I61" s="217">
        <f>+G61*C61</f>
        <v>0</v>
      </c>
      <c r="J61" s="217">
        <v>669.69072113787956</v>
      </c>
      <c r="K61" s="217">
        <v>8371134.0142234946</v>
      </c>
      <c r="L61" s="436"/>
    </row>
    <row r="62" spans="1:12" ht="25.5" x14ac:dyDescent="0.2">
      <c r="A62" s="158">
        <v>3</v>
      </c>
      <c r="B62" s="156" t="s">
        <v>167</v>
      </c>
      <c r="C62" s="160">
        <v>1</v>
      </c>
      <c r="D62" s="159" t="s">
        <v>77</v>
      </c>
      <c r="E62" s="181">
        <v>2500000</v>
      </c>
      <c r="F62" s="181">
        <v>2500000</v>
      </c>
      <c r="G62" s="217"/>
      <c r="H62" s="217">
        <f t="shared" si="2"/>
        <v>760089.48708690412</v>
      </c>
      <c r="I62" s="217">
        <f>+G62*C62</f>
        <v>0</v>
      </c>
      <c r="J62" s="217">
        <v>881703.80502080871</v>
      </c>
      <c r="K62" s="217">
        <v>881703.80502080871</v>
      </c>
      <c r="L62" s="436"/>
    </row>
    <row r="63" spans="1:12" ht="25.5" x14ac:dyDescent="0.2">
      <c r="A63" s="158">
        <v>4</v>
      </c>
      <c r="B63" s="156" t="s">
        <v>168</v>
      </c>
      <c r="C63" s="160">
        <v>12500</v>
      </c>
      <c r="D63" s="159" t="s">
        <v>77</v>
      </c>
      <c r="E63" s="181">
        <v>2800</v>
      </c>
      <c r="F63" s="181">
        <f>+E63*C63</f>
        <v>35000000</v>
      </c>
      <c r="G63" s="217"/>
      <c r="H63" s="217">
        <f t="shared" si="2"/>
        <v>958.52706968807922</v>
      </c>
      <c r="I63" s="217">
        <f>+G63*C63</f>
        <v>0</v>
      </c>
      <c r="J63" s="217">
        <v>1111.8914008381719</v>
      </c>
      <c r="K63" s="217">
        <v>13898642.510477148</v>
      </c>
      <c r="L63" s="436"/>
    </row>
    <row r="64" spans="1:12" x14ac:dyDescent="0.2">
      <c r="A64" s="271"/>
      <c r="B64" s="272" t="s">
        <v>258</v>
      </c>
      <c r="C64" s="272"/>
      <c r="D64" s="272"/>
      <c r="E64" s="273"/>
      <c r="F64" s="273"/>
      <c r="G64" s="281"/>
      <c r="H64" s="281">
        <f t="shared" si="2"/>
        <v>0</v>
      </c>
      <c r="I64" s="281"/>
      <c r="J64" s="281"/>
      <c r="K64" s="281">
        <v>0</v>
      </c>
      <c r="L64" s="436"/>
    </row>
    <row r="65" spans="1:12" x14ac:dyDescent="0.2">
      <c r="A65" s="158">
        <v>1</v>
      </c>
      <c r="B65" s="156" t="s">
        <v>253</v>
      </c>
      <c r="C65" s="151">
        <v>1</v>
      </c>
      <c r="D65" s="159" t="s">
        <v>106</v>
      </c>
      <c r="E65" s="181">
        <v>3200000</v>
      </c>
      <c r="F65" s="181">
        <f>+E65*C65</f>
        <v>3200000</v>
      </c>
      <c r="G65" s="217"/>
      <c r="H65" s="217">
        <f t="shared" si="2"/>
        <v>11624205.315250833</v>
      </c>
      <c r="I65" s="217">
        <f>+G65*C65</f>
        <v>0</v>
      </c>
      <c r="J65" s="217">
        <v>13484078.165690964</v>
      </c>
      <c r="K65" s="217">
        <v>13484078.165690964</v>
      </c>
      <c r="L65" s="436"/>
    </row>
    <row r="66" spans="1:12" x14ac:dyDescent="0.2">
      <c r="A66" s="158">
        <v>2</v>
      </c>
      <c r="B66" s="156" t="s">
        <v>665</v>
      </c>
      <c r="C66" s="151">
        <v>1</v>
      </c>
      <c r="D66" s="159" t="s">
        <v>119</v>
      </c>
      <c r="E66" s="181">
        <v>15600000</v>
      </c>
      <c r="F66" s="181">
        <f>+E66*C66</f>
        <v>15600000</v>
      </c>
      <c r="G66" s="217"/>
      <c r="H66" s="217">
        <f t="shared" si="2"/>
        <v>40348625.827112682</v>
      </c>
      <c r="I66" s="217">
        <f>+G66*C66</f>
        <v>0</v>
      </c>
      <c r="J66" s="217">
        <v>46804405.959450707</v>
      </c>
      <c r="K66" s="217">
        <v>46804405.959450707</v>
      </c>
      <c r="L66" s="436"/>
    </row>
    <row r="67" spans="1:12" x14ac:dyDescent="0.2">
      <c r="A67" s="158">
        <v>3</v>
      </c>
      <c r="B67" s="156" t="s">
        <v>120</v>
      </c>
      <c r="C67" s="160">
        <v>4000</v>
      </c>
      <c r="D67" s="159" t="s">
        <v>108</v>
      </c>
      <c r="E67" s="181">
        <v>900</v>
      </c>
      <c r="F67" s="181">
        <f>+E67*C67</f>
        <v>3600000</v>
      </c>
      <c r="G67" s="217"/>
      <c r="H67" s="217">
        <f t="shared" si="2"/>
        <v>0</v>
      </c>
      <c r="I67" s="217">
        <f>+G67*C67</f>
        <v>0</v>
      </c>
      <c r="J67" s="217"/>
      <c r="K67" s="217">
        <v>0</v>
      </c>
      <c r="L67" s="436"/>
    </row>
    <row r="68" spans="1:12" x14ac:dyDescent="0.2">
      <c r="A68" s="266"/>
      <c r="B68" s="272" t="s">
        <v>254</v>
      </c>
      <c r="C68" s="267"/>
      <c r="D68" s="265"/>
      <c r="E68" s="268"/>
      <c r="F68" s="268"/>
      <c r="G68" s="279"/>
      <c r="H68" s="279">
        <f t="shared" si="2"/>
        <v>0</v>
      </c>
      <c r="I68" s="279"/>
      <c r="J68" s="279"/>
      <c r="K68" s="279">
        <v>0</v>
      </c>
      <c r="L68" s="436"/>
    </row>
    <row r="69" spans="1:12" ht="12" customHeight="1" x14ac:dyDescent="0.2">
      <c r="A69" s="146">
        <v>1</v>
      </c>
      <c r="B69" s="147" t="s">
        <v>162</v>
      </c>
      <c r="C69" s="148">
        <v>1</v>
      </c>
      <c r="D69" s="166" t="s">
        <v>77</v>
      </c>
      <c r="E69" s="184">
        <v>100000000</v>
      </c>
      <c r="F69" s="181">
        <v>100000000</v>
      </c>
      <c r="G69" s="252"/>
      <c r="H69" s="217">
        <f t="shared" si="2"/>
        <v>83329844.918893054</v>
      </c>
      <c r="I69" s="217">
        <f>+G69*C69</f>
        <v>0</v>
      </c>
      <c r="J69" s="217">
        <v>96662620.105915934</v>
      </c>
      <c r="K69" s="217">
        <v>96662620.105915934</v>
      </c>
      <c r="L69" s="436"/>
    </row>
    <row r="70" spans="1:12" x14ac:dyDescent="0.2">
      <c r="A70" s="275"/>
      <c r="B70" s="283" t="s">
        <v>255</v>
      </c>
      <c r="C70" s="283"/>
      <c r="D70" s="283"/>
      <c r="E70" s="273"/>
      <c r="F70" s="273"/>
      <c r="G70" s="281"/>
      <c r="H70" s="281">
        <f t="shared" si="2"/>
        <v>0</v>
      </c>
      <c r="I70" s="281"/>
      <c r="J70" s="281"/>
      <c r="K70" s="281">
        <v>0</v>
      </c>
      <c r="L70" s="436"/>
    </row>
    <row r="71" spans="1:12" x14ac:dyDescent="0.2">
      <c r="A71" s="146">
        <v>1</v>
      </c>
      <c r="B71" s="156" t="s">
        <v>103</v>
      </c>
      <c r="C71" s="151">
        <v>10</v>
      </c>
      <c r="D71" s="154" t="s">
        <v>105</v>
      </c>
      <c r="E71" s="184">
        <v>35000000</v>
      </c>
      <c r="F71" s="181">
        <f>C71*E71</f>
        <v>350000000</v>
      </c>
      <c r="G71" s="217"/>
      <c r="H71" s="217">
        <f t="shared" si="2"/>
        <v>8602951.7151570823</v>
      </c>
      <c r="I71" s="217">
        <f>+G71*C71</f>
        <v>0</v>
      </c>
      <c r="J71" s="217">
        <v>9979423.9895822145</v>
      </c>
      <c r="K71" s="217">
        <v>99794239.895822138</v>
      </c>
      <c r="L71" s="436"/>
    </row>
    <row r="72" spans="1:12" x14ac:dyDescent="0.2">
      <c r="A72" s="284"/>
      <c r="B72" s="283" t="s">
        <v>669</v>
      </c>
      <c r="C72" s="285"/>
      <c r="D72" s="264"/>
      <c r="E72" s="286"/>
      <c r="F72" s="286"/>
      <c r="G72" s="281"/>
      <c r="H72" s="281">
        <f>+SUM(H12:H71)</f>
        <v>294649893.38408637</v>
      </c>
      <c r="I72" s="281">
        <f>+SUM(I12:I71)</f>
        <v>0</v>
      </c>
      <c r="J72" s="281"/>
      <c r="K72" s="281">
        <v>1120782412.5858605</v>
      </c>
      <c r="L72" s="436"/>
    </row>
    <row r="73" spans="1:12" hidden="1" x14ac:dyDescent="0.2">
      <c r="A73" s="270"/>
      <c r="B73" s="287" t="s">
        <v>244</v>
      </c>
      <c r="C73" s="282"/>
      <c r="D73" s="287"/>
      <c r="E73" s="268"/>
      <c r="F73" s="268"/>
      <c r="G73" s="279"/>
      <c r="H73" s="398"/>
      <c r="I73" s="398"/>
      <c r="J73" s="398"/>
      <c r="K73" s="279"/>
      <c r="L73" s="436"/>
    </row>
    <row r="74" spans="1:12" hidden="1" x14ac:dyDescent="0.2">
      <c r="A74" s="288"/>
      <c r="B74" s="282" t="s">
        <v>246</v>
      </c>
      <c r="C74" s="289">
        <v>10</v>
      </c>
      <c r="D74" s="269" t="s">
        <v>105</v>
      </c>
      <c r="E74" s="290"/>
      <c r="F74" s="290"/>
      <c r="G74" s="279"/>
      <c r="H74" s="279"/>
      <c r="I74" s="279"/>
      <c r="J74" s="279"/>
      <c r="K74" s="279">
        <v>0</v>
      </c>
      <c r="L74" s="436"/>
    </row>
    <row r="75" spans="1:12" x14ac:dyDescent="0.2">
      <c r="A75" s="284"/>
      <c r="B75" s="283" t="s">
        <v>674</v>
      </c>
      <c r="C75" s="227">
        <v>10</v>
      </c>
      <c r="D75" s="227" t="s">
        <v>671</v>
      </c>
      <c r="E75" s="137"/>
      <c r="F75" s="137"/>
      <c r="G75" s="217"/>
      <c r="H75" s="217">
        <f>+H72*G75</f>
        <v>0</v>
      </c>
      <c r="I75" s="217">
        <f>+H75*C75</f>
        <v>0</v>
      </c>
      <c r="J75" s="281"/>
      <c r="K75" s="281"/>
      <c r="L75" s="436"/>
    </row>
    <row r="76" spans="1:12" x14ac:dyDescent="0.2">
      <c r="A76" s="284"/>
      <c r="B76" s="283" t="s">
        <v>672</v>
      </c>
      <c r="C76" s="137"/>
      <c r="D76" s="137"/>
      <c r="E76" s="137"/>
      <c r="F76" s="137"/>
      <c r="G76" s="217"/>
      <c r="H76" s="217">
        <f>+H75+H72</f>
        <v>294649893.38408637</v>
      </c>
      <c r="I76" s="217">
        <f>+I75+I72</f>
        <v>0</v>
      </c>
      <c r="J76" s="281"/>
      <c r="K76" s="281"/>
      <c r="L76" s="436"/>
    </row>
    <row r="77" spans="1:12" ht="13.5" customHeight="1" x14ac:dyDescent="0.2">
      <c r="A77" s="288"/>
      <c r="B77" s="283" t="s">
        <v>670</v>
      </c>
      <c r="C77" s="437">
        <v>0.16</v>
      </c>
      <c r="D77" s="264"/>
      <c r="E77" s="286"/>
      <c r="F77" s="286"/>
      <c r="G77" s="281"/>
      <c r="H77" s="281">
        <f>+H76*$C$77</f>
        <v>47143982.941453822</v>
      </c>
      <c r="I77" s="281">
        <f>+I76*$C$77</f>
        <v>0</v>
      </c>
      <c r="J77" s="279"/>
      <c r="K77" s="279">
        <v>67633421.449146762</v>
      </c>
      <c r="L77" s="436"/>
    </row>
    <row r="78" spans="1:12" x14ac:dyDescent="0.2">
      <c r="A78" s="288"/>
      <c r="B78" s="283" t="s">
        <v>673</v>
      </c>
      <c r="C78" s="289"/>
      <c r="D78" s="269"/>
      <c r="E78" s="290"/>
      <c r="F78" s="290"/>
      <c r="G78" s="279"/>
      <c r="H78" s="281">
        <f>+H77+H72</f>
        <v>341793876.32554018</v>
      </c>
      <c r="I78" s="281">
        <f>+I77+I72</f>
        <v>0</v>
      </c>
      <c r="J78" s="279"/>
      <c r="K78" s="279">
        <v>1033825156.4369576</v>
      </c>
      <c r="L78" s="436"/>
    </row>
    <row r="79" spans="1:12" hidden="1" x14ac:dyDescent="0.2">
      <c r="A79" s="258"/>
      <c r="B79" s="259" t="s">
        <v>250</v>
      </c>
      <c r="C79" s="260"/>
      <c r="D79" s="139"/>
      <c r="E79" s="261"/>
      <c r="F79" s="261"/>
      <c r="G79" s="262"/>
      <c r="H79" s="262"/>
      <c r="I79" s="262"/>
      <c r="J79" s="262"/>
      <c r="K79" s="262">
        <v>1199237181.4668708</v>
      </c>
      <c r="L79" s="436"/>
    </row>
    <row r="82" spans="1:19" s="188" customFormat="1" x14ac:dyDescent="0.2">
      <c r="A82" s="172"/>
      <c r="B82" s="173"/>
      <c r="C82" s="174"/>
      <c r="D82" s="174"/>
      <c r="E82" s="178"/>
      <c r="F82" s="178"/>
      <c r="G82" s="215"/>
      <c r="H82" s="215"/>
      <c r="I82" s="215"/>
      <c r="J82" s="215"/>
      <c r="K82" s="215"/>
      <c r="L82" s="137"/>
      <c r="M82" s="137"/>
      <c r="N82" s="137"/>
      <c r="O82" s="137"/>
      <c r="P82" s="137"/>
      <c r="Q82" s="137"/>
      <c r="R82" s="137"/>
      <c r="S82" s="137"/>
    </row>
    <row r="83" spans="1:19" s="188" customFormat="1" x14ac:dyDescent="0.2">
      <c r="A83" s="172"/>
      <c r="B83" s="173"/>
      <c r="C83" s="174"/>
      <c r="D83" s="174"/>
      <c r="E83" s="178"/>
      <c r="F83" s="178"/>
      <c r="G83" s="215"/>
      <c r="H83" s="215"/>
      <c r="I83" s="215"/>
      <c r="J83" s="215"/>
      <c r="K83" s="215"/>
      <c r="L83" s="137"/>
      <c r="M83" s="137"/>
      <c r="N83" s="137"/>
      <c r="O83" s="137"/>
      <c r="P83" s="137"/>
      <c r="Q83" s="137"/>
      <c r="R83" s="137"/>
      <c r="S83" s="137"/>
    </row>
    <row r="84" spans="1:19" s="188" customFormat="1" x14ac:dyDescent="0.2">
      <c r="A84" s="172"/>
      <c r="B84" s="173"/>
      <c r="C84" s="174"/>
      <c r="D84" s="174"/>
      <c r="E84" s="178"/>
      <c r="F84" s="178"/>
      <c r="G84" s="215"/>
      <c r="H84" s="215"/>
      <c r="I84" s="215"/>
      <c r="J84" s="215"/>
      <c r="K84" s="215"/>
      <c r="L84" s="137"/>
      <c r="M84" s="137"/>
      <c r="N84" s="137"/>
      <c r="O84" s="137"/>
      <c r="P84" s="137"/>
      <c r="Q84" s="137"/>
      <c r="R84" s="137"/>
      <c r="S84" s="137"/>
    </row>
    <row r="85" spans="1:19" s="188" customFormat="1" x14ac:dyDescent="0.2">
      <c r="A85" s="172"/>
      <c r="B85" s="173"/>
      <c r="C85" s="174"/>
      <c r="D85" s="174"/>
      <c r="E85" s="178"/>
      <c r="F85" s="178"/>
      <c r="G85" s="215"/>
      <c r="H85" s="215"/>
      <c r="I85" s="215"/>
      <c r="J85" s="215"/>
      <c r="K85" s="215"/>
      <c r="L85" s="137"/>
      <c r="M85" s="137"/>
      <c r="N85" s="137"/>
      <c r="O85" s="137"/>
      <c r="P85" s="137"/>
      <c r="Q85" s="137"/>
      <c r="R85" s="137"/>
      <c r="S85" s="137"/>
    </row>
    <row r="86" spans="1:19" s="188" customFormat="1" x14ac:dyDescent="0.2">
      <c r="A86" s="172"/>
      <c r="B86" s="173"/>
      <c r="C86" s="174"/>
      <c r="D86" s="174"/>
      <c r="E86" s="178"/>
      <c r="F86" s="178"/>
      <c r="G86" s="215"/>
      <c r="H86" s="215"/>
      <c r="I86" s="215"/>
      <c r="J86" s="215"/>
      <c r="K86" s="215"/>
      <c r="L86" s="137"/>
      <c r="M86" s="137"/>
      <c r="N86" s="137"/>
      <c r="O86" s="137"/>
      <c r="P86" s="137"/>
      <c r="Q86" s="137"/>
      <c r="R86" s="137"/>
      <c r="S86" s="137"/>
    </row>
    <row r="87" spans="1:19" s="188" customFormat="1" x14ac:dyDescent="0.2">
      <c r="A87" s="172"/>
      <c r="B87" s="173"/>
      <c r="C87" s="174"/>
      <c r="D87" s="174"/>
      <c r="E87" s="178"/>
      <c r="F87" s="178"/>
      <c r="G87" s="215"/>
      <c r="H87" s="215"/>
      <c r="I87" s="215"/>
      <c r="J87" s="215"/>
      <c r="K87" s="215"/>
      <c r="L87" s="137"/>
      <c r="M87" s="137"/>
      <c r="N87" s="137"/>
      <c r="O87" s="137"/>
      <c r="P87" s="137"/>
      <c r="Q87" s="137"/>
      <c r="R87" s="137"/>
      <c r="S87" s="137"/>
    </row>
    <row r="88" spans="1:19" s="188" customFormat="1" x14ac:dyDescent="0.2">
      <c r="A88" s="172"/>
      <c r="B88" s="173"/>
      <c r="C88" s="174"/>
      <c r="D88" s="174"/>
      <c r="E88" s="178"/>
      <c r="F88" s="178"/>
      <c r="G88" s="215"/>
      <c r="H88" s="215"/>
      <c r="I88" s="215"/>
      <c r="J88" s="215"/>
      <c r="K88" s="215"/>
      <c r="L88" s="137"/>
      <c r="M88" s="137"/>
      <c r="N88" s="137"/>
      <c r="O88" s="137"/>
      <c r="P88" s="137"/>
      <c r="Q88" s="137"/>
      <c r="R88" s="137"/>
      <c r="S88" s="137"/>
    </row>
    <row r="89" spans="1:19" s="188" customFormat="1" x14ac:dyDescent="0.2">
      <c r="A89" s="172"/>
      <c r="B89" s="173"/>
      <c r="C89" s="174"/>
      <c r="D89" s="174"/>
      <c r="E89" s="178"/>
      <c r="F89" s="178"/>
      <c r="G89" s="215"/>
      <c r="H89" s="215"/>
      <c r="I89" s="215"/>
      <c r="J89" s="215"/>
      <c r="K89" s="215"/>
      <c r="L89" s="137"/>
      <c r="M89" s="137"/>
      <c r="N89" s="137"/>
      <c r="O89" s="137"/>
      <c r="P89" s="137"/>
      <c r="Q89" s="137"/>
      <c r="R89" s="137"/>
      <c r="S89" s="137"/>
    </row>
    <row r="90" spans="1:19" s="188" customFormat="1" x14ac:dyDescent="0.2">
      <c r="A90" s="172"/>
      <c r="B90" s="173"/>
      <c r="C90" s="174"/>
      <c r="D90" s="174"/>
      <c r="E90" s="178"/>
      <c r="F90" s="178"/>
      <c r="G90" s="215"/>
      <c r="H90" s="215"/>
      <c r="I90" s="215"/>
      <c r="J90" s="215"/>
      <c r="K90" s="215"/>
      <c r="L90" s="137"/>
      <c r="M90" s="137"/>
      <c r="N90" s="137"/>
      <c r="O90" s="137"/>
      <c r="P90" s="137"/>
      <c r="Q90" s="137"/>
      <c r="R90" s="137"/>
      <c r="S90" s="137"/>
    </row>
    <row r="91" spans="1:19" s="188" customFormat="1" x14ac:dyDescent="0.2">
      <c r="A91" s="172"/>
      <c r="B91" s="173"/>
      <c r="C91" s="174"/>
      <c r="D91" s="174"/>
      <c r="E91" s="178"/>
      <c r="F91" s="178"/>
      <c r="G91" s="215"/>
      <c r="H91" s="215"/>
      <c r="I91" s="215"/>
      <c r="J91" s="215"/>
      <c r="K91" s="215"/>
      <c r="L91" s="137"/>
      <c r="M91" s="137"/>
      <c r="N91" s="137"/>
      <c r="O91" s="137"/>
      <c r="P91" s="137"/>
      <c r="Q91" s="137"/>
      <c r="R91" s="137"/>
      <c r="S91" s="137"/>
    </row>
    <row r="92" spans="1:19" s="188" customFormat="1" x14ac:dyDescent="0.2">
      <c r="A92" s="172"/>
      <c r="B92" s="173"/>
      <c r="C92" s="174"/>
      <c r="D92" s="174"/>
      <c r="E92" s="178"/>
      <c r="F92" s="178"/>
      <c r="G92" s="215"/>
      <c r="H92" s="215"/>
      <c r="I92" s="215"/>
      <c r="J92" s="215"/>
      <c r="K92" s="215"/>
      <c r="L92" s="137"/>
      <c r="M92" s="137"/>
      <c r="N92" s="137"/>
      <c r="O92" s="137"/>
      <c r="P92" s="137"/>
      <c r="Q92" s="137"/>
      <c r="R92" s="137"/>
      <c r="S92" s="137"/>
    </row>
    <row r="93" spans="1:19" s="188" customFormat="1" x14ac:dyDescent="0.2">
      <c r="A93" s="172"/>
      <c r="B93" s="173"/>
      <c r="C93" s="174"/>
      <c r="D93" s="174"/>
      <c r="E93" s="178"/>
      <c r="F93" s="178"/>
      <c r="G93" s="215"/>
      <c r="H93" s="215"/>
      <c r="I93" s="215"/>
      <c r="J93" s="215"/>
      <c r="K93" s="215"/>
      <c r="L93" s="137"/>
      <c r="M93" s="137"/>
      <c r="N93" s="137"/>
      <c r="O93" s="137"/>
      <c r="P93" s="137"/>
      <c r="Q93" s="137"/>
      <c r="R93" s="137"/>
      <c r="S93" s="137"/>
    </row>
    <row r="94" spans="1:19" s="188" customFormat="1" x14ac:dyDescent="0.2">
      <c r="A94" s="172"/>
      <c r="B94" s="173"/>
      <c r="C94" s="174"/>
      <c r="D94" s="174"/>
      <c r="E94" s="178"/>
      <c r="F94" s="178"/>
      <c r="G94" s="215"/>
      <c r="H94" s="215"/>
      <c r="I94" s="215"/>
      <c r="J94" s="215"/>
      <c r="K94" s="215"/>
      <c r="L94" s="137"/>
      <c r="M94" s="137"/>
      <c r="N94" s="137"/>
      <c r="O94" s="137"/>
      <c r="P94" s="137"/>
      <c r="Q94" s="137"/>
      <c r="R94" s="137"/>
      <c r="S94" s="137"/>
    </row>
    <row r="95" spans="1:19" s="188" customFormat="1" ht="15.75" customHeight="1" x14ac:dyDescent="0.2">
      <c r="A95" s="172"/>
      <c r="B95" s="173"/>
      <c r="C95" s="174"/>
      <c r="D95" s="174"/>
      <c r="E95" s="178"/>
      <c r="F95" s="178"/>
      <c r="G95" s="215"/>
      <c r="H95" s="215"/>
      <c r="I95" s="215"/>
      <c r="J95" s="215"/>
      <c r="K95" s="215"/>
      <c r="L95" s="137"/>
      <c r="M95" s="137"/>
      <c r="N95" s="137"/>
      <c r="O95" s="137"/>
      <c r="P95" s="137"/>
      <c r="Q95" s="137"/>
      <c r="R95" s="137"/>
      <c r="S95" s="137"/>
    </row>
    <row r="96" spans="1:19" s="188" customFormat="1" x14ac:dyDescent="0.2">
      <c r="A96" s="172"/>
      <c r="B96" s="173"/>
      <c r="C96" s="174"/>
      <c r="D96" s="174"/>
      <c r="E96" s="178"/>
      <c r="F96" s="178"/>
      <c r="G96" s="215"/>
      <c r="H96" s="215"/>
      <c r="I96" s="215"/>
      <c r="J96" s="215"/>
      <c r="K96" s="215"/>
      <c r="L96" s="137"/>
      <c r="M96" s="137"/>
      <c r="N96" s="137"/>
      <c r="O96" s="137"/>
      <c r="P96" s="137"/>
      <c r="Q96" s="137"/>
      <c r="R96" s="137"/>
      <c r="S96" s="137"/>
    </row>
    <row r="97" spans="1:19" s="188" customFormat="1" x14ac:dyDescent="0.2">
      <c r="A97" s="172"/>
      <c r="B97" s="173"/>
      <c r="C97" s="174"/>
      <c r="D97" s="174"/>
      <c r="E97" s="178"/>
      <c r="F97" s="178"/>
      <c r="G97" s="215"/>
      <c r="H97" s="215"/>
      <c r="I97" s="215"/>
      <c r="J97" s="215"/>
      <c r="K97" s="215"/>
      <c r="L97" s="137"/>
      <c r="M97" s="137"/>
      <c r="N97" s="137"/>
      <c r="O97" s="137"/>
      <c r="P97" s="137"/>
      <c r="Q97" s="137"/>
      <c r="R97" s="137"/>
      <c r="S97" s="137"/>
    </row>
    <row r="98" spans="1:19" s="188" customFormat="1" ht="12.75" customHeight="1" x14ac:dyDescent="0.2">
      <c r="A98" s="172"/>
      <c r="B98" s="173"/>
      <c r="C98" s="174"/>
      <c r="D98" s="174"/>
      <c r="E98" s="178"/>
      <c r="F98" s="178"/>
      <c r="G98" s="215"/>
      <c r="H98" s="215"/>
      <c r="I98" s="215"/>
      <c r="J98" s="215"/>
      <c r="K98" s="215"/>
      <c r="L98" s="137"/>
      <c r="M98" s="137"/>
      <c r="N98" s="137"/>
      <c r="O98" s="137"/>
      <c r="P98" s="137"/>
      <c r="Q98" s="137"/>
      <c r="R98" s="137"/>
      <c r="S98" s="137"/>
    </row>
    <row r="99" spans="1:19" s="188" customFormat="1" ht="13.5" customHeight="1" x14ac:dyDescent="0.2">
      <c r="A99" s="172"/>
      <c r="B99" s="173"/>
      <c r="C99" s="174"/>
      <c r="D99" s="174"/>
      <c r="E99" s="178"/>
      <c r="F99" s="178"/>
      <c r="G99" s="215"/>
      <c r="H99" s="215"/>
      <c r="I99" s="215"/>
      <c r="J99" s="215"/>
      <c r="K99" s="215"/>
      <c r="L99" s="137"/>
      <c r="M99" s="137"/>
      <c r="N99" s="137"/>
      <c r="O99" s="137"/>
      <c r="P99" s="137"/>
      <c r="Q99" s="137"/>
      <c r="R99" s="137"/>
      <c r="S99" s="137"/>
    </row>
    <row r="100" spans="1:19" s="188" customFormat="1" x14ac:dyDescent="0.2">
      <c r="A100" s="172"/>
      <c r="B100" s="173"/>
      <c r="C100" s="174"/>
      <c r="D100" s="174"/>
      <c r="E100" s="178"/>
      <c r="F100" s="178"/>
      <c r="G100" s="215"/>
      <c r="H100" s="215"/>
      <c r="I100" s="215"/>
      <c r="J100" s="215"/>
      <c r="K100" s="215"/>
      <c r="L100" s="137"/>
      <c r="M100" s="137"/>
      <c r="N100" s="137"/>
      <c r="O100" s="137"/>
      <c r="P100" s="137"/>
      <c r="Q100" s="137"/>
      <c r="R100" s="137"/>
      <c r="S100" s="137"/>
    </row>
  </sheetData>
  <mergeCells count="3">
    <mergeCell ref="A8:K8"/>
    <mergeCell ref="A9:B9"/>
    <mergeCell ref="B59:F59"/>
  </mergeCells>
  <pageMargins left="0.25" right="0.25" top="0.75" bottom="0.75" header="0.3" footer="0.3"/>
  <pageSetup fitToHeight="0" orientation="landscape" r:id="rId1"/>
  <rowBreaks count="1" manualBreakCount="1">
    <brk id="58" max="10"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9"/>
  <sheetViews>
    <sheetView zoomScalePageLayoutView="125" workbookViewId="0">
      <pane xSplit="2" ySplit="11" topLeftCell="E12" activePane="bottomRight" state="frozen"/>
      <selection pane="topRight" activeCell="C1" sqref="C1"/>
      <selection pane="bottomLeft" activeCell="A12" sqref="A12"/>
      <selection pane="bottomRight" activeCell="H9" sqref="H9"/>
    </sheetView>
  </sheetViews>
  <sheetFormatPr baseColWidth="10" defaultColWidth="10.85546875" defaultRowHeight="12.75" x14ac:dyDescent="0.2"/>
  <cols>
    <col min="1" max="1" width="7.42578125" style="172" bestFit="1" customWidth="1"/>
    <col min="2" max="2" width="83" style="173" customWidth="1"/>
    <col min="3" max="3" width="14.140625" style="174" customWidth="1"/>
    <col min="4" max="4" width="16.140625" style="174" customWidth="1"/>
    <col min="5" max="5" width="15.7109375" style="178" customWidth="1"/>
    <col min="6" max="6" width="20.28515625" style="178" customWidth="1"/>
    <col min="7" max="7" width="14.85546875" style="215" customWidth="1"/>
    <col min="8" max="8" width="14.85546875" style="215" bestFit="1" customWidth="1"/>
    <col min="9" max="10" width="14.85546875" style="215" customWidth="1"/>
    <col min="11" max="12" width="14.85546875" style="215" bestFit="1" customWidth="1"/>
    <col min="13" max="16384" width="10.85546875" style="137"/>
  </cols>
  <sheetData>
    <row r="1" spans="1:12" x14ac:dyDescent="0.2">
      <c r="B1" s="213" t="s">
        <v>191</v>
      </c>
    </row>
    <row r="2" spans="1:12" x14ac:dyDescent="0.2">
      <c r="B2" s="213" t="s">
        <v>192</v>
      </c>
    </row>
    <row r="3" spans="1:12" x14ac:dyDescent="0.2">
      <c r="B3" s="213" t="s">
        <v>194</v>
      </c>
    </row>
    <row r="4" spans="1:12" x14ac:dyDescent="0.2">
      <c r="B4" s="214" t="s">
        <v>161</v>
      </c>
    </row>
    <row r="5" spans="1:12" ht="15" x14ac:dyDescent="0.25">
      <c r="B5" s="213" t="s">
        <v>160</v>
      </c>
      <c r="H5"/>
    </row>
    <row r="6" spans="1:12" ht="15" x14ac:dyDescent="0.25">
      <c r="B6" s="213" t="s">
        <v>193</v>
      </c>
      <c r="H6"/>
    </row>
    <row r="7" spans="1:12" x14ac:dyDescent="0.2">
      <c r="H7" s="175"/>
    </row>
    <row r="8" spans="1:12" ht="15" customHeight="1" x14ac:dyDescent="0.2">
      <c r="A8" s="544" t="s">
        <v>102</v>
      </c>
      <c r="B8" s="544"/>
      <c r="C8" s="544"/>
      <c r="D8" s="544"/>
      <c r="E8" s="544"/>
      <c r="F8" s="544"/>
    </row>
    <row r="9" spans="1:12" ht="51" x14ac:dyDescent="0.2">
      <c r="A9" s="545" t="s">
        <v>62</v>
      </c>
      <c r="B9" s="546"/>
      <c r="C9" s="138" t="s">
        <v>63</v>
      </c>
      <c r="D9" s="139" t="s">
        <v>64</v>
      </c>
      <c r="E9" s="179" t="s">
        <v>101</v>
      </c>
      <c r="F9" s="179" t="s">
        <v>61</v>
      </c>
      <c r="G9" s="175" t="s">
        <v>222</v>
      </c>
      <c r="H9" s="175" t="s">
        <v>224</v>
      </c>
      <c r="I9" s="175" t="s">
        <v>226</v>
      </c>
      <c r="J9" s="215" t="s">
        <v>241</v>
      </c>
    </row>
    <row r="10" spans="1:12" x14ac:dyDescent="0.2">
      <c r="A10" s="141"/>
      <c r="B10" s="142" t="s">
        <v>117</v>
      </c>
      <c r="C10" s="138"/>
      <c r="D10" s="139"/>
      <c r="E10" s="179"/>
      <c r="F10" s="179"/>
      <c r="G10" s="218" t="s">
        <v>218</v>
      </c>
      <c r="H10" s="218" t="s">
        <v>219</v>
      </c>
      <c r="I10" s="218" t="s">
        <v>232</v>
      </c>
      <c r="J10" s="218" t="s">
        <v>233</v>
      </c>
      <c r="K10" s="218"/>
      <c r="L10" s="218"/>
    </row>
    <row r="11" spans="1:12" ht="40.5" customHeight="1" x14ac:dyDescent="0.2">
      <c r="A11" s="143" t="s">
        <v>129</v>
      </c>
      <c r="B11" s="142" t="s">
        <v>170</v>
      </c>
      <c r="C11" s="144"/>
      <c r="D11" s="142"/>
      <c r="E11" s="180"/>
      <c r="F11" s="180"/>
      <c r="G11" s="216" t="s">
        <v>101</v>
      </c>
      <c r="H11" s="216" t="s">
        <v>101</v>
      </c>
      <c r="I11" s="216" t="s">
        <v>101</v>
      </c>
      <c r="J11" s="216" t="s">
        <v>101</v>
      </c>
      <c r="K11" s="219" t="s">
        <v>220</v>
      </c>
      <c r="L11" s="219" t="s">
        <v>225</v>
      </c>
    </row>
    <row r="12" spans="1:12" x14ac:dyDescent="0.2">
      <c r="A12" s="146" t="s">
        <v>171</v>
      </c>
      <c r="B12" s="147" t="s">
        <v>127</v>
      </c>
      <c r="C12" s="148">
        <v>3</v>
      </c>
      <c r="D12" s="148" t="s">
        <v>111</v>
      </c>
      <c r="E12" s="181">
        <v>29700000</v>
      </c>
      <c r="F12" s="181">
        <f t="shared" ref="F12:F29" si="0">+E12*C12</f>
        <v>89100000</v>
      </c>
      <c r="G12" s="217">
        <f>+'C01_INICIAL'!F12</f>
        <v>29700000</v>
      </c>
      <c r="H12" s="251">
        <f>+'CO2'!F12</f>
        <v>143260000</v>
      </c>
      <c r="I12" s="217">
        <f>+'CO3'!F12</f>
        <v>34800000</v>
      </c>
      <c r="J12" s="217">
        <f>+'CO4'!F12</f>
        <v>14000000</v>
      </c>
      <c r="K12" s="217">
        <f>+AVERAGE(G12:J12)</f>
        <v>55440000</v>
      </c>
      <c r="L12" s="217">
        <f>+K12*C12</f>
        <v>166320000</v>
      </c>
    </row>
    <row r="13" spans="1:12" x14ac:dyDescent="0.2">
      <c r="A13" s="150" t="s">
        <v>171</v>
      </c>
      <c r="B13" s="147" t="s">
        <v>128</v>
      </c>
      <c r="C13" s="148">
        <v>2</v>
      </c>
      <c r="D13" s="148" t="s">
        <v>111</v>
      </c>
      <c r="E13" s="181">
        <v>29400000</v>
      </c>
      <c r="F13" s="181">
        <f t="shared" si="0"/>
        <v>58800000</v>
      </c>
      <c r="G13" s="217">
        <f>+'C01_INICIAL'!F13</f>
        <v>29400000</v>
      </c>
      <c r="H13" s="251">
        <f>+'CO2'!F13</f>
        <v>120640000</v>
      </c>
      <c r="I13" s="217">
        <f>+'CO3'!F13</f>
        <v>31320000</v>
      </c>
      <c r="J13" s="217">
        <f>+'CO4'!F13</f>
        <v>12600000</v>
      </c>
      <c r="K13" s="217">
        <f t="shared" ref="K13:K76" si="1">+AVERAGE(G13:J13)</f>
        <v>48490000</v>
      </c>
      <c r="L13" s="217">
        <f t="shared" ref="L13:L43" si="2">+K13*C13</f>
        <v>96980000</v>
      </c>
    </row>
    <row r="14" spans="1:12" x14ac:dyDescent="0.2">
      <c r="A14" s="150" t="s">
        <v>171</v>
      </c>
      <c r="B14" s="147" t="s">
        <v>186</v>
      </c>
      <c r="C14" s="148">
        <v>5</v>
      </c>
      <c r="D14" s="148" t="s">
        <v>110</v>
      </c>
      <c r="E14" s="181">
        <v>7300000</v>
      </c>
      <c r="F14" s="181">
        <f t="shared" si="0"/>
        <v>36500000</v>
      </c>
      <c r="G14" s="217">
        <f>+'C01_INICIAL'!F14</f>
        <v>7300000</v>
      </c>
      <c r="H14" s="251">
        <f>+'CO2'!F14</f>
        <v>180960000</v>
      </c>
      <c r="I14" s="217">
        <f>+'CO3'!F14</f>
        <v>7888000</v>
      </c>
      <c r="J14" s="217">
        <f>+'CO4'!F14</f>
        <v>15400000</v>
      </c>
      <c r="K14" s="217">
        <f t="shared" si="1"/>
        <v>52887000</v>
      </c>
      <c r="L14" s="217">
        <f t="shared" si="2"/>
        <v>264435000</v>
      </c>
    </row>
    <row r="15" spans="1:12" x14ac:dyDescent="0.2">
      <c r="A15" s="146" t="s">
        <v>171</v>
      </c>
      <c r="B15" s="147" t="s">
        <v>187</v>
      </c>
      <c r="C15" s="148">
        <v>5</v>
      </c>
      <c r="D15" s="148" t="s">
        <v>110</v>
      </c>
      <c r="E15" s="181">
        <v>5400000</v>
      </c>
      <c r="F15" s="181">
        <f t="shared" si="0"/>
        <v>27000000</v>
      </c>
      <c r="G15" s="217">
        <f>+'C01_INICIAL'!F15</f>
        <v>5400000</v>
      </c>
      <c r="H15" s="251">
        <f>+'CO2'!F15</f>
        <v>226200000</v>
      </c>
      <c r="I15" s="217">
        <f>+'CO3'!F15</f>
        <v>9280000</v>
      </c>
      <c r="J15" s="217">
        <f>+'CO4'!F15</f>
        <v>18200000</v>
      </c>
      <c r="K15" s="217">
        <f t="shared" si="1"/>
        <v>64770000</v>
      </c>
      <c r="L15" s="217">
        <f t="shared" si="2"/>
        <v>323850000</v>
      </c>
    </row>
    <row r="16" spans="1:12" x14ac:dyDescent="0.2">
      <c r="A16" s="146" t="s">
        <v>172</v>
      </c>
      <c r="B16" s="147" t="s">
        <v>113</v>
      </c>
      <c r="C16" s="148">
        <v>6</v>
      </c>
      <c r="D16" s="148" t="s">
        <v>114</v>
      </c>
      <c r="E16" s="181">
        <v>21000000</v>
      </c>
      <c r="F16" s="181">
        <f t="shared" si="0"/>
        <v>126000000</v>
      </c>
      <c r="G16" s="217">
        <f>+'C01_INICIAL'!F16</f>
        <v>21000000</v>
      </c>
      <c r="H16" s="251">
        <f>+'CO2'!F16</f>
        <v>64693200</v>
      </c>
      <c r="I16" s="217">
        <f>+'CO3'!F16</f>
        <v>87000000</v>
      </c>
      <c r="J16" s="217">
        <f>+'CO4'!F16</f>
        <v>23800000</v>
      </c>
      <c r="K16" s="217">
        <f t="shared" si="1"/>
        <v>49123300</v>
      </c>
      <c r="L16" s="217">
        <f t="shared" si="2"/>
        <v>294739800</v>
      </c>
    </row>
    <row r="17" spans="1:13" x14ac:dyDescent="0.2">
      <c r="A17" s="146" t="s">
        <v>173</v>
      </c>
      <c r="B17" s="147" t="s">
        <v>107</v>
      </c>
      <c r="C17" s="151">
        <v>16</v>
      </c>
      <c r="D17" s="148" t="s">
        <v>123</v>
      </c>
      <c r="E17" s="181">
        <v>14500000</v>
      </c>
      <c r="F17" s="181">
        <f t="shared" si="0"/>
        <v>232000000</v>
      </c>
      <c r="G17" s="217">
        <f>+'C01_INICIAL'!F17</f>
        <v>14500000</v>
      </c>
      <c r="H17" s="251">
        <f>+'CO2'!F17</f>
        <v>180000000</v>
      </c>
      <c r="I17" s="217">
        <f>+'CO3'!F17</f>
        <v>29000000</v>
      </c>
      <c r="J17" s="217">
        <f>+'CO4'!F17</f>
        <v>26600000</v>
      </c>
      <c r="K17" s="217">
        <f t="shared" si="1"/>
        <v>62525000</v>
      </c>
      <c r="L17" s="217">
        <f t="shared" si="2"/>
        <v>1000400000</v>
      </c>
    </row>
    <row r="18" spans="1:13" x14ac:dyDescent="0.2">
      <c r="A18" s="152" t="s">
        <v>174</v>
      </c>
      <c r="B18" s="147" t="s">
        <v>151</v>
      </c>
      <c r="C18" s="148">
        <v>2</v>
      </c>
      <c r="D18" s="148" t="s">
        <v>145</v>
      </c>
      <c r="E18" s="181">
        <v>15400000</v>
      </c>
      <c r="F18" s="181">
        <f t="shared" si="0"/>
        <v>30800000</v>
      </c>
      <c r="G18" s="217">
        <f>+'C01_INICIAL'!F18</f>
        <v>15400000</v>
      </c>
      <c r="H18" s="251">
        <f>+'CO2'!F18</f>
        <v>250800000</v>
      </c>
      <c r="I18" s="217">
        <f>+'CO3'!F18</f>
        <v>17400000</v>
      </c>
      <c r="J18" s="217">
        <f>+'CO4'!F18</f>
        <v>4384800</v>
      </c>
      <c r="K18" s="217">
        <f t="shared" si="1"/>
        <v>71996200</v>
      </c>
      <c r="L18" s="217">
        <f t="shared" si="2"/>
        <v>143992400</v>
      </c>
    </row>
    <row r="19" spans="1:13" x14ac:dyDescent="0.2">
      <c r="A19" s="152">
        <v>2.4</v>
      </c>
      <c r="B19" s="147" t="s">
        <v>176</v>
      </c>
      <c r="C19" s="148">
        <v>2</v>
      </c>
      <c r="D19" s="148" t="s">
        <v>145</v>
      </c>
      <c r="E19" s="181">
        <v>21000000</v>
      </c>
      <c r="F19" s="181">
        <f t="shared" si="0"/>
        <v>42000000</v>
      </c>
      <c r="G19" s="217">
        <f>+'C01_INICIAL'!F19</f>
        <v>21000000</v>
      </c>
      <c r="H19" s="251">
        <f>+'CO2'!F19</f>
        <v>300800000</v>
      </c>
      <c r="I19" s="217">
        <f>+'CO3'!F19</f>
        <v>14160000</v>
      </c>
      <c r="J19" s="217">
        <f>+'CO4'!F19</f>
        <v>8769600</v>
      </c>
      <c r="K19" s="217">
        <f t="shared" si="1"/>
        <v>86182400</v>
      </c>
      <c r="L19" s="217">
        <f t="shared" si="2"/>
        <v>172364800</v>
      </c>
    </row>
    <row r="20" spans="1:13" ht="13.5" thickBot="1" x14ac:dyDescent="0.25">
      <c r="A20" s="152">
        <v>2.4</v>
      </c>
      <c r="B20" s="147" t="s">
        <v>153</v>
      </c>
      <c r="C20" s="148">
        <v>2</v>
      </c>
      <c r="D20" s="148" t="s">
        <v>145</v>
      </c>
      <c r="E20" s="182">
        <v>19000000</v>
      </c>
      <c r="F20" s="181">
        <f t="shared" si="0"/>
        <v>38000000</v>
      </c>
      <c r="G20" s="217">
        <f>+'C01_INICIAL'!F20</f>
        <v>19000000</v>
      </c>
      <c r="H20" s="251">
        <f>+'CO2'!F20</f>
        <v>150800000</v>
      </c>
      <c r="I20" s="217">
        <f>+'CO3'!F20</f>
        <v>23200000</v>
      </c>
      <c r="J20" s="217">
        <f>+'CO4'!F20</f>
        <v>8769600</v>
      </c>
      <c r="K20" s="217">
        <f t="shared" si="1"/>
        <v>50442400</v>
      </c>
      <c r="L20" s="217">
        <f t="shared" si="2"/>
        <v>100884800</v>
      </c>
    </row>
    <row r="21" spans="1:13" x14ac:dyDescent="0.2">
      <c r="A21" s="152">
        <v>2</v>
      </c>
      <c r="B21" s="147" t="s">
        <v>144</v>
      </c>
      <c r="C21" s="147">
        <v>10</v>
      </c>
      <c r="D21" s="147" t="s">
        <v>145</v>
      </c>
      <c r="E21" s="183">
        <v>5000000</v>
      </c>
      <c r="F21" s="181">
        <f t="shared" si="0"/>
        <v>50000000</v>
      </c>
      <c r="G21" s="251">
        <f>+'C01_INICIAL'!F21</f>
        <v>5000000</v>
      </c>
      <c r="H21" s="217">
        <f>+'CO2'!F21</f>
        <v>603200</v>
      </c>
      <c r="I21" s="217">
        <f>+'CO3'!F21</f>
        <v>348000</v>
      </c>
      <c r="J21" s="217">
        <f>+'CO4'!F21</f>
        <v>252000</v>
      </c>
      <c r="K21" s="217">
        <f t="shared" si="1"/>
        <v>1550800</v>
      </c>
      <c r="L21" s="217">
        <f t="shared" si="2"/>
        <v>15508000</v>
      </c>
    </row>
    <row r="22" spans="1:13" x14ac:dyDescent="0.2">
      <c r="A22" s="152">
        <v>2.1</v>
      </c>
      <c r="B22" s="147" t="s">
        <v>189</v>
      </c>
      <c r="C22" s="147">
        <v>48</v>
      </c>
      <c r="D22" s="147" t="s">
        <v>145</v>
      </c>
      <c r="E22" s="184">
        <v>3500000</v>
      </c>
      <c r="F22" s="181">
        <f t="shared" si="0"/>
        <v>168000000</v>
      </c>
      <c r="G22" s="251">
        <f>+'C01_INICIAL'!F22</f>
        <v>3500000</v>
      </c>
      <c r="H22" s="217">
        <f>+'CO2'!F22</f>
        <v>1885000</v>
      </c>
      <c r="I22" s="217">
        <f>+'CO3'!F22</f>
        <v>1160000</v>
      </c>
      <c r="J22" s="217">
        <f>+'CO4'!F22</f>
        <v>150000</v>
      </c>
      <c r="K22" s="217">
        <f t="shared" si="1"/>
        <v>1673750</v>
      </c>
      <c r="L22" s="217">
        <f t="shared" si="2"/>
        <v>80340000</v>
      </c>
    </row>
    <row r="23" spans="1:13" x14ac:dyDescent="0.2">
      <c r="A23" s="152">
        <v>2.1</v>
      </c>
      <c r="B23" s="147" t="s">
        <v>148</v>
      </c>
      <c r="C23" s="147">
        <v>8</v>
      </c>
      <c r="D23" s="147" t="s">
        <v>145</v>
      </c>
      <c r="E23" s="181">
        <v>1200000</v>
      </c>
      <c r="F23" s="181">
        <f t="shared" si="0"/>
        <v>9600000</v>
      </c>
      <c r="G23" s="217">
        <f>+'C01_INICIAL'!F23</f>
        <v>1200000</v>
      </c>
      <c r="H23" s="217">
        <f>+'CO2'!F23</f>
        <v>1017900</v>
      </c>
      <c r="I23" s="251">
        <f>+'CO3'!F23</f>
        <v>8921000</v>
      </c>
      <c r="J23" s="217">
        <f>+'CO4'!F23</f>
        <v>986000</v>
      </c>
      <c r="K23" s="217">
        <f t="shared" si="1"/>
        <v>3031225</v>
      </c>
      <c r="L23" s="217">
        <f t="shared" si="2"/>
        <v>24249800</v>
      </c>
    </row>
    <row r="24" spans="1:13" x14ac:dyDescent="0.2">
      <c r="A24" s="547">
        <v>2.1</v>
      </c>
      <c r="B24" s="550" t="s">
        <v>67</v>
      </c>
      <c r="C24" s="153">
        <v>8</v>
      </c>
      <c r="D24" s="154" t="s">
        <v>145</v>
      </c>
      <c r="E24" s="181">
        <v>280000</v>
      </c>
      <c r="F24" s="181">
        <f t="shared" si="0"/>
        <v>2240000</v>
      </c>
      <c r="G24" s="217">
        <f>+'C01_INICIAL'!F24</f>
        <v>280000</v>
      </c>
      <c r="H24" s="217">
        <f>+'CO2'!F24</f>
        <v>244296</v>
      </c>
      <c r="I24" s="217">
        <f>+'CO3'!F24</f>
        <v>250000</v>
      </c>
      <c r="J24" s="217">
        <f>+'CO4'!F24</f>
        <v>30000</v>
      </c>
      <c r="K24" s="217">
        <f t="shared" si="1"/>
        <v>201074</v>
      </c>
      <c r="L24" s="217">
        <f t="shared" si="2"/>
        <v>1608592</v>
      </c>
    </row>
    <row r="25" spans="1:13" x14ac:dyDescent="0.2">
      <c r="A25" s="548"/>
      <c r="B25" s="550"/>
      <c r="C25" s="153">
        <v>8</v>
      </c>
      <c r="D25" s="154" t="s">
        <v>145</v>
      </c>
      <c r="E25" s="181">
        <v>280000</v>
      </c>
      <c r="F25" s="181">
        <f t="shared" si="0"/>
        <v>2240000</v>
      </c>
      <c r="G25" s="217">
        <f>+'C01_INICIAL'!F25</f>
        <v>280000</v>
      </c>
      <c r="H25" s="217">
        <f>+'CO2'!F25</f>
        <v>203580</v>
      </c>
      <c r="I25" s="217">
        <f>+'CO3'!F25</f>
        <v>250000</v>
      </c>
      <c r="J25" s="217">
        <f>+'CO4'!F25</f>
        <v>25000</v>
      </c>
      <c r="K25" s="217">
        <f t="shared" si="1"/>
        <v>189645</v>
      </c>
      <c r="L25" s="217">
        <f t="shared" si="2"/>
        <v>1517160</v>
      </c>
    </row>
    <row r="26" spans="1:13" x14ac:dyDescent="0.2">
      <c r="A26" s="549"/>
      <c r="B26" s="550"/>
      <c r="C26" s="153">
        <v>8</v>
      </c>
      <c r="D26" s="154" t="s">
        <v>145</v>
      </c>
      <c r="E26" s="181">
        <v>160000</v>
      </c>
      <c r="F26" s="181">
        <f t="shared" si="0"/>
        <v>1280000</v>
      </c>
      <c r="G26" s="217">
        <f>+'C01_INICIAL'!F26</f>
        <v>160000</v>
      </c>
      <c r="H26" s="217">
        <f>+'CO2'!F26</f>
        <v>203580</v>
      </c>
      <c r="I26" s="217">
        <f>+'CO3'!F26</f>
        <v>250000</v>
      </c>
      <c r="J26" s="217">
        <f>+'CO4'!F26</f>
        <v>30000</v>
      </c>
      <c r="K26" s="217">
        <f t="shared" si="1"/>
        <v>160895</v>
      </c>
      <c r="L26" s="217">
        <f t="shared" si="2"/>
        <v>1287160</v>
      </c>
    </row>
    <row r="27" spans="1:13" x14ac:dyDescent="0.2">
      <c r="A27" s="152">
        <v>2.1</v>
      </c>
      <c r="B27" s="156" t="s">
        <v>71</v>
      </c>
      <c r="C27" s="154">
        <v>8</v>
      </c>
      <c r="D27" s="154" t="s">
        <v>145</v>
      </c>
      <c r="E27" s="181">
        <v>13200000</v>
      </c>
      <c r="F27" s="181">
        <f t="shared" si="0"/>
        <v>105600000</v>
      </c>
      <c r="G27" s="251">
        <f>+'C01_INICIAL'!F27</f>
        <v>13200000</v>
      </c>
      <c r="H27" s="251">
        <f>+'CO2'!F27</f>
        <v>15080000</v>
      </c>
      <c r="I27" s="251">
        <f>+'CO3'!F27</f>
        <v>17325000</v>
      </c>
      <c r="J27" s="217">
        <f>+'CO4'!F27</f>
        <v>950000</v>
      </c>
      <c r="K27" s="217">
        <f t="shared" si="1"/>
        <v>11638750</v>
      </c>
      <c r="L27" s="217">
        <f t="shared" si="2"/>
        <v>93110000</v>
      </c>
      <c r="M27" s="137" t="s">
        <v>242</v>
      </c>
    </row>
    <row r="28" spans="1:13" x14ac:dyDescent="0.2">
      <c r="A28" s="152">
        <v>2.1</v>
      </c>
      <c r="B28" s="156" t="s">
        <v>71</v>
      </c>
      <c r="C28" s="154">
        <v>8</v>
      </c>
      <c r="D28" s="154" t="s">
        <v>145</v>
      </c>
      <c r="E28" s="181">
        <v>13200000</v>
      </c>
      <c r="F28" s="181">
        <f t="shared" si="0"/>
        <v>105600000</v>
      </c>
      <c r="G28" s="251">
        <f>+'C01_INICIAL'!F28</f>
        <v>13200000</v>
      </c>
      <c r="H28" s="251">
        <f>+'CO2'!F28</f>
        <v>15080000</v>
      </c>
      <c r="I28" s="251">
        <f>+'CO3'!F28</f>
        <v>17325000</v>
      </c>
      <c r="J28" s="217">
        <f>+'CO4'!F28</f>
        <v>950000</v>
      </c>
      <c r="K28" s="217">
        <f t="shared" si="1"/>
        <v>11638750</v>
      </c>
      <c r="L28" s="217">
        <f t="shared" si="2"/>
        <v>93110000</v>
      </c>
      <c r="M28" s="137" t="s">
        <v>242</v>
      </c>
    </row>
    <row r="29" spans="1:13" x14ac:dyDescent="0.2">
      <c r="A29" s="152">
        <v>2.1</v>
      </c>
      <c r="B29" s="157" t="s">
        <v>73</v>
      </c>
      <c r="C29" s="151">
        <v>8</v>
      </c>
      <c r="D29" s="151" t="s">
        <v>75</v>
      </c>
      <c r="E29" s="181">
        <v>700000</v>
      </c>
      <c r="F29" s="181">
        <f t="shared" si="0"/>
        <v>5600000</v>
      </c>
      <c r="G29" s="217">
        <f>+'C01_INICIAL'!F29</f>
        <v>700000</v>
      </c>
      <c r="H29" s="217">
        <f>+'CO2'!F29</f>
        <v>712530</v>
      </c>
      <c r="I29" s="217">
        <f>+'CO3'!F29</f>
        <v>535500</v>
      </c>
      <c r="J29" s="217">
        <f>+'CO4'!F29</f>
        <v>105000</v>
      </c>
      <c r="K29" s="217">
        <f t="shared" si="1"/>
        <v>513257.5</v>
      </c>
      <c r="L29" s="217">
        <f t="shared" si="2"/>
        <v>4106060</v>
      </c>
    </row>
    <row r="30" spans="1:13" x14ac:dyDescent="0.2">
      <c r="A30" s="143"/>
      <c r="B30" s="142" t="s">
        <v>177</v>
      </c>
      <c r="C30" s="144"/>
      <c r="D30" s="142"/>
      <c r="E30" s="180"/>
      <c r="F30" s="180"/>
      <c r="G30" s="217">
        <f>+'C01_INICIAL'!F30</f>
        <v>0</v>
      </c>
      <c r="H30" s="217">
        <f>+'CO2'!F30</f>
        <v>0</v>
      </c>
      <c r="I30" s="217">
        <f>+'CO3'!F30</f>
        <v>0</v>
      </c>
      <c r="J30" s="217">
        <f>+'CO4'!F30</f>
        <v>0</v>
      </c>
      <c r="K30" s="217">
        <f t="shared" si="1"/>
        <v>0</v>
      </c>
      <c r="L30" s="217">
        <f t="shared" si="2"/>
        <v>0</v>
      </c>
    </row>
    <row r="31" spans="1:13" x14ac:dyDescent="0.2">
      <c r="A31" s="158">
        <v>1</v>
      </c>
      <c r="B31" s="156" t="s">
        <v>78</v>
      </c>
      <c r="C31" s="151">
        <v>1</v>
      </c>
      <c r="D31" s="159" t="s">
        <v>77</v>
      </c>
      <c r="E31" s="181">
        <v>650000</v>
      </c>
      <c r="F31" s="181">
        <f t="shared" ref="F31:F56" si="3">+E31*C31</f>
        <v>650000</v>
      </c>
      <c r="G31" s="217">
        <f>+'C01_INICIAL'!F31</f>
        <v>650000</v>
      </c>
      <c r="H31" s="217">
        <f>+'CO2'!F31</f>
        <v>1000000</v>
      </c>
      <c r="I31" s="217">
        <f>+'CO3'!F31</f>
        <v>796700</v>
      </c>
      <c r="J31" s="217">
        <f>+'CO4'!F31</f>
        <v>65650</v>
      </c>
      <c r="K31" s="217">
        <f t="shared" si="1"/>
        <v>628087.5</v>
      </c>
      <c r="L31" s="217">
        <f t="shared" si="2"/>
        <v>628087.5</v>
      </c>
    </row>
    <row r="32" spans="1:13" x14ac:dyDescent="0.2">
      <c r="A32" s="158">
        <f t="shared" ref="A32:A67" si="4">+A31+1</f>
        <v>2</v>
      </c>
      <c r="B32" s="156" t="s">
        <v>79</v>
      </c>
      <c r="C32" s="160">
        <v>30000</v>
      </c>
      <c r="D32" s="159" t="s">
        <v>77</v>
      </c>
      <c r="E32" s="181">
        <v>1300</v>
      </c>
      <c r="F32" s="181">
        <f t="shared" si="3"/>
        <v>39000000</v>
      </c>
      <c r="G32" s="217">
        <f>+'C01_INICIAL'!F32</f>
        <v>1300</v>
      </c>
      <c r="H32" s="217">
        <f>+'CO2'!F32</f>
        <v>500</v>
      </c>
      <c r="I32" s="217">
        <f>+'CO3'!F32</f>
        <v>134.6</v>
      </c>
      <c r="J32" s="217">
        <f>+'CO4'!F32</f>
        <v>137</v>
      </c>
      <c r="K32" s="217">
        <f t="shared" si="1"/>
        <v>517.9</v>
      </c>
      <c r="L32" s="217">
        <f t="shared" si="2"/>
        <v>15537000</v>
      </c>
    </row>
    <row r="33" spans="1:12" x14ac:dyDescent="0.2">
      <c r="A33" s="158">
        <f t="shared" si="4"/>
        <v>3</v>
      </c>
      <c r="B33" s="156" t="s">
        <v>80</v>
      </c>
      <c r="C33" s="151">
        <v>1</v>
      </c>
      <c r="D33" s="159" t="s">
        <v>77</v>
      </c>
      <c r="E33" s="181">
        <v>2100000</v>
      </c>
      <c r="F33" s="181">
        <f t="shared" si="3"/>
        <v>2100000</v>
      </c>
      <c r="G33" s="217">
        <f>+'C01_INICIAL'!F33</f>
        <v>2100000</v>
      </c>
      <c r="H33" s="217">
        <f>+'CO2'!F33</f>
        <v>3137041.7812455939</v>
      </c>
      <c r="I33" s="217">
        <f>+'CO3'!F33</f>
        <v>1849483</v>
      </c>
      <c r="J33" s="217">
        <f>+'CO4'!F33</f>
        <v>814000</v>
      </c>
      <c r="K33" s="217">
        <f t="shared" si="1"/>
        <v>1975131.1953113985</v>
      </c>
      <c r="L33" s="217">
        <f t="shared" si="2"/>
        <v>1975131.1953113985</v>
      </c>
    </row>
    <row r="34" spans="1:12" x14ac:dyDescent="0.2">
      <c r="A34" s="158">
        <f t="shared" si="4"/>
        <v>4</v>
      </c>
      <c r="B34" s="156" t="s">
        <v>81</v>
      </c>
      <c r="C34" s="151">
        <v>2</v>
      </c>
      <c r="D34" s="159" t="s">
        <v>77</v>
      </c>
      <c r="E34" s="181">
        <v>1500000</v>
      </c>
      <c r="F34" s="181">
        <f t="shared" si="3"/>
        <v>3000000</v>
      </c>
      <c r="G34" s="217">
        <f>+'C01_INICIAL'!F34</f>
        <v>1500000</v>
      </c>
      <c r="H34" s="217">
        <f>+'CO2'!F34</f>
        <v>2100080.58801674</v>
      </c>
      <c r="I34" s="217">
        <f>+'CO3'!F34</f>
        <v>1223504</v>
      </c>
      <c r="J34" s="217">
        <f>+'CO4'!F34</f>
        <v>570500</v>
      </c>
      <c r="K34" s="217">
        <f t="shared" si="1"/>
        <v>1348521.147004185</v>
      </c>
      <c r="L34" s="217">
        <f t="shared" si="2"/>
        <v>2697042.29400837</v>
      </c>
    </row>
    <row r="35" spans="1:12" x14ac:dyDescent="0.2">
      <c r="A35" s="158">
        <f t="shared" si="4"/>
        <v>5</v>
      </c>
      <c r="B35" s="156" t="s">
        <v>82</v>
      </c>
      <c r="C35" s="151">
        <v>4</v>
      </c>
      <c r="D35" s="159" t="s">
        <v>77</v>
      </c>
      <c r="E35" s="181">
        <v>1400000</v>
      </c>
      <c r="F35" s="181">
        <f t="shared" si="3"/>
        <v>5600000</v>
      </c>
      <c r="G35" s="217">
        <f>+'C01_INICIAL'!F35</f>
        <v>1400000</v>
      </c>
      <c r="H35" s="217">
        <f>+'CO2'!F35</f>
        <v>1431026.5575122754</v>
      </c>
      <c r="I35" s="217">
        <f>+'CO3'!F35</f>
        <v>910514</v>
      </c>
      <c r="J35" s="217">
        <f>+'CO4'!F35</f>
        <v>360000</v>
      </c>
      <c r="K35" s="217">
        <f t="shared" si="1"/>
        <v>1025385.1393780689</v>
      </c>
      <c r="L35" s="217">
        <f t="shared" si="2"/>
        <v>4101540.5575122754</v>
      </c>
    </row>
    <row r="36" spans="1:12" x14ac:dyDescent="0.2">
      <c r="A36" s="158">
        <f t="shared" si="4"/>
        <v>6</v>
      </c>
      <c r="B36" s="156" t="s">
        <v>137</v>
      </c>
      <c r="C36" s="151">
        <v>4</v>
      </c>
      <c r="D36" s="159" t="s">
        <v>77</v>
      </c>
      <c r="E36" s="181">
        <v>600000</v>
      </c>
      <c r="F36" s="181">
        <f t="shared" si="3"/>
        <v>2400000</v>
      </c>
      <c r="G36" s="217">
        <f>+'C01_INICIAL'!F36</f>
        <v>600000</v>
      </c>
      <c r="H36" s="217">
        <f>+'CO2'!F36</f>
        <v>1805271.6337556478</v>
      </c>
      <c r="I36" s="217">
        <f>+'CO3'!F36</f>
        <v>1327835</v>
      </c>
      <c r="J36" s="217">
        <f>+'CO4'!F36</f>
        <v>328900</v>
      </c>
      <c r="K36" s="217">
        <f t="shared" si="1"/>
        <v>1015501.6584389119</v>
      </c>
      <c r="L36" s="217">
        <f t="shared" si="2"/>
        <v>4062006.6337556476</v>
      </c>
    </row>
    <row r="37" spans="1:12" x14ac:dyDescent="0.2">
      <c r="A37" s="158">
        <f t="shared" si="4"/>
        <v>7</v>
      </c>
      <c r="B37" s="156" t="s">
        <v>138</v>
      </c>
      <c r="C37" s="160">
        <v>40000</v>
      </c>
      <c r="D37" s="159" t="s">
        <v>77</v>
      </c>
      <c r="E37" s="184">
        <v>310</v>
      </c>
      <c r="F37" s="181">
        <f t="shared" si="3"/>
        <v>12400000</v>
      </c>
      <c r="G37" s="217">
        <f>+'C01_INICIAL'!F37</f>
        <v>310</v>
      </c>
      <c r="H37" s="217">
        <f>+'CO2'!F37</f>
        <v>500</v>
      </c>
      <c r="I37" s="217">
        <f>+'CO3'!F37</f>
        <v>169.36</v>
      </c>
      <c r="J37" s="217">
        <f>+'CO4'!F37</f>
        <v>218</v>
      </c>
      <c r="K37" s="217">
        <f t="shared" si="1"/>
        <v>299.34000000000003</v>
      </c>
      <c r="L37" s="217">
        <f t="shared" si="2"/>
        <v>11973600.000000002</v>
      </c>
    </row>
    <row r="38" spans="1:12" x14ac:dyDescent="0.2">
      <c r="A38" s="158">
        <f t="shared" si="4"/>
        <v>8</v>
      </c>
      <c r="B38" s="156" t="s">
        <v>139</v>
      </c>
      <c r="C38" s="151">
        <v>2</v>
      </c>
      <c r="D38" s="159" t="s">
        <v>77</v>
      </c>
      <c r="E38" s="181">
        <v>900000</v>
      </c>
      <c r="F38" s="181">
        <f t="shared" si="3"/>
        <v>1800000</v>
      </c>
      <c r="G38" s="217">
        <f>+'C01_INICIAL'!F38</f>
        <v>900000</v>
      </c>
      <c r="H38" s="217">
        <f>+'CO2'!F38</f>
        <v>2692549.5890610791</v>
      </c>
      <c r="I38" s="217">
        <f>+'CO3'!F38</f>
        <v>1991753</v>
      </c>
      <c r="J38" s="217">
        <f>+'CO4'!F38</f>
        <v>575900</v>
      </c>
      <c r="K38" s="217">
        <f t="shared" si="1"/>
        <v>1540050.6472652699</v>
      </c>
      <c r="L38" s="217">
        <f t="shared" si="2"/>
        <v>3080101.2945305398</v>
      </c>
    </row>
    <row r="39" spans="1:12" x14ac:dyDescent="0.2">
      <c r="A39" s="158">
        <f t="shared" si="4"/>
        <v>9</v>
      </c>
      <c r="B39" s="156" t="s">
        <v>140</v>
      </c>
      <c r="C39" s="160">
        <v>20000</v>
      </c>
      <c r="D39" s="159" t="s">
        <v>77</v>
      </c>
      <c r="E39" s="184">
        <v>360</v>
      </c>
      <c r="F39" s="181">
        <f t="shared" si="3"/>
        <v>7200000</v>
      </c>
      <c r="G39" s="217">
        <f>+'C01_INICIAL'!F39</f>
        <v>360</v>
      </c>
      <c r="H39" s="217">
        <f>+'CO2'!F39</f>
        <v>416</v>
      </c>
      <c r="I39" s="217">
        <f>+'CO3'!F39</f>
        <v>563.76</v>
      </c>
      <c r="J39" s="217">
        <f>+'CO4'!F39</f>
        <v>267</v>
      </c>
      <c r="K39" s="217">
        <f t="shared" si="1"/>
        <v>401.69</v>
      </c>
      <c r="L39" s="217">
        <f t="shared" si="2"/>
        <v>8033800</v>
      </c>
    </row>
    <row r="40" spans="1:12" x14ac:dyDescent="0.2">
      <c r="A40" s="158">
        <f t="shared" si="4"/>
        <v>10</v>
      </c>
      <c r="B40" s="156" t="s">
        <v>141</v>
      </c>
      <c r="C40" s="151">
        <v>2</v>
      </c>
      <c r="D40" s="159" t="s">
        <v>77</v>
      </c>
      <c r="E40" s="181">
        <v>1200000</v>
      </c>
      <c r="F40" s="181">
        <f t="shared" si="3"/>
        <v>2400000</v>
      </c>
      <c r="G40" s="217">
        <f>+'C01_INICIAL'!F40</f>
        <v>1200000</v>
      </c>
      <c r="H40" s="217">
        <f>+'CO2'!F40</f>
        <v>3197182.3993580537</v>
      </c>
      <c r="I40" s="217">
        <f>+'CO3'!F40</f>
        <v>2655671</v>
      </c>
      <c r="J40" s="217">
        <f>+'CO4'!F40</f>
        <v>850000</v>
      </c>
      <c r="K40" s="217">
        <f t="shared" si="1"/>
        <v>1975713.3498395134</v>
      </c>
      <c r="L40" s="217">
        <f t="shared" si="2"/>
        <v>3951426.6996790268</v>
      </c>
    </row>
    <row r="41" spans="1:12" x14ac:dyDescent="0.2">
      <c r="A41" s="158">
        <f t="shared" si="4"/>
        <v>11</v>
      </c>
      <c r="B41" s="156" t="s">
        <v>142</v>
      </c>
      <c r="C41" s="160">
        <v>20000</v>
      </c>
      <c r="D41" s="159" t="s">
        <v>77</v>
      </c>
      <c r="E41" s="184">
        <v>360</v>
      </c>
      <c r="F41" s="181">
        <f t="shared" si="3"/>
        <v>7200000</v>
      </c>
      <c r="G41" s="217">
        <f>+'C01_INICIAL'!F41</f>
        <v>360</v>
      </c>
      <c r="H41" s="217">
        <f>+'CO2'!F41</f>
        <v>455</v>
      </c>
      <c r="I41" s="217">
        <f>+'CO3'!F41</f>
        <v>350.32</v>
      </c>
      <c r="J41" s="217">
        <f>+'CO4'!F41</f>
        <v>270</v>
      </c>
      <c r="K41" s="217">
        <f t="shared" si="1"/>
        <v>358.83</v>
      </c>
      <c r="L41" s="217">
        <f t="shared" si="2"/>
        <v>7176600</v>
      </c>
    </row>
    <row r="42" spans="1:12" x14ac:dyDescent="0.2">
      <c r="A42" s="158">
        <f t="shared" si="4"/>
        <v>12</v>
      </c>
      <c r="B42" s="156" t="s">
        <v>133</v>
      </c>
      <c r="C42" s="160">
        <v>5000</v>
      </c>
      <c r="D42" s="159" t="s">
        <v>77</v>
      </c>
      <c r="E42" s="181">
        <v>3500</v>
      </c>
      <c r="F42" s="181">
        <f t="shared" si="3"/>
        <v>17500000</v>
      </c>
      <c r="G42" s="217">
        <f>+'C01_INICIAL'!F42</f>
        <v>3500</v>
      </c>
      <c r="H42" s="217">
        <f>+'CO2'!F42</f>
        <v>2340</v>
      </c>
      <c r="I42" s="217">
        <f>+'CO3'!F42</f>
        <v>1102</v>
      </c>
      <c r="J42" s="217">
        <f>+'CO4'!F42</f>
        <v>1160</v>
      </c>
      <c r="K42" s="217">
        <f t="shared" si="1"/>
        <v>2025.5</v>
      </c>
      <c r="L42" s="217">
        <f t="shared" si="2"/>
        <v>10127500</v>
      </c>
    </row>
    <row r="43" spans="1:12" ht="25.5" x14ac:dyDescent="0.2">
      <c r="A43" s="158">
        <f t="shared" si="4"/>
        <v>13</v>
      </c>
      <c r="B43" s="156" t="s">
        <v>188</v>
      </c>
      <c r="C43" s="160">
        <v>1</v>
      </c>
      <c r="D43" s="159" t="s">
        <v>77</v>
      </c>
      <c r="E43" s="181">
        <v>1800</v>
      </c>
      <c r="F43" s="181">
        <f t="shared" si="3"/>
        <v>1800</v>
      </c>
      <c r="G43" s="217">
        <f>+'C01_INICIAL'!F43</f>
        <v>1800</v>
      </c>
      <c r="H43" s="217">
        <f>+'CO2'!F43</f>
        <v>1950</v>
      </c>
      <c r="I43" s="252">
        <f>+'CO3'!F43</f>
        <v>643886</v>
      </c>
      <c r="J43" s="217">
        <f>+'CO4'!F43</f>
        <v>147500</v>
      </c>
      <c r="K43" s="217">
        <f t="shared" si="1"/>
        <v>198784</v>
      </c>
      <c r="L43" s="217">
        <f t="shared" si="2"/>
        <v>198784</v>
      </c>
    </row>
    <row r="44" spans="1:12" x14ac:dyDescent="0.2">
      <c r="A44" s="158">
        <f t="shared" si="4"/>
        <v>14</v>
      </c>
      <c r="B44" s="156" t="s">
        <v>124</v>
      </c>
      <c r="C44" s="160">
        <v>1</v>
      </c>
      <c r="D44" s="159" t="s">
        <v>77</v>
      </c>
      <c r="E44" s="181">
        <v>800000</v>
      </c>
      <c r="F44" s="181">
        <f t="shared" si="3"/>
        <v>800000</v>
      </c>
      <c r="G44" s="217">
        <f>+'C01_INICIAL'!F44</f>
        <v>800000</v>
      </c>
      <c r="H44" s="251">
        <f>+'CO2'!F44</f>
        <v>2044326.6724816032</v>
      </c>
      <c r="I44" s="217">
        <f>+'CO3'!F44</f>
        <v>368000</v>
      </c>
      <c r="J44" s="217">
        <f>+'CO4'!F44</f>
        <v>226900</v>
      </c>
      <c r="K44" s="217">
        <f t="shared" si="1"/>
        <v>859806.66812040075</v>
      </c>
      <c r="L44" s="217">
        <f t="shared" ref="L44:L75" si="5">+K44*C44</f>
        <v>859806.66812040075</v>
      </c>
    </row>
    <row r="45" spans="1:12" x14ac:dyDescent="0.2">
      <c r="A45" s="158">
        <f t="shared" si="4"/>
        <v>15</v>
      </c>
      <c r="B45" s="161" t="s">
        <v>125</v>
      </c>
      <c r="C45" s="160">
        <v>5000</v>
      </c>
      <c r="D45" s="159" t="s">
        <v>77</v>
      </c>
      <c r="E45" s="181">
        <v>5400</v>
      </c>
      <c r="F45" s="181">
        <f t="shared" si="3"/>
        <v>27000000</v>
      </c>
      <c r="G45" s="217">
        <f>+'C01_INICIAL'!F45</f>
        <v>5400</v>
      </c>
      <c r="H45" s="217">
        <f>+'CO2'!F45</f>
        <v>6500</v>
      </c>
      <c r="I45" s="217">
        <f>+'CO3'!F45</f>
        <v>13200</v>
      </c>
      <c r="J45" s="217">
        <f>+'CO4'!F45</f>
        <v>12700</v>
      </c>
      <c r="K45" s="217">
        <f t="shared" si="1"/>
        <v>9450</v>
      </c>
      <c r="L45" s="217">
        <f t="shared" si="5"/>
        <v>47250000</v>
      </c>
    </row>
    <row r="46" spans="1:12" x14ac:dyDescent="0.2">
      <c r="A46" s="158">
        <f t="shared" si="4"/>
        <v>16</v>
      </c>
      <c r="B46" s="161" t="s">
        <v>126</v>
      </c>
      <c r="C46" s="151">
        <v>1</v>
      </c>
      <c r="D46" s="159" t="s">
        <v>77</v>
      </c>
      <c r="E46" s="181">
        <v>775000</v>
      </c>
      <c r="F46" s="181">
        <f t="shared" si="3"/>
        <v>775000</v>
      </c>
      <c r="G46" s="217">
        <f>+'C01_INICIAL'!F46</f>
        <v>775000</v>
      </c>
      <c r="H46" s="217">
        <f>+'CO2'!F46</f>
        <v>895167.3280659311</v>
      </c>
      <c r="I46" s="217">
        <f>+'CO3'!F46</f>
        <v>5121648</v>
      </c>
      <c r="J46" s="217">
        <f>+'CO4'!F46</f>
        <v>415090</v>
      </c>
      <c r="K46" s="217">
        <f t="shared" si="1"/>
        <v>1801726.3320164827</v>
      </c>
      <c r="L46" s="217">
        <f t="shared" si="5"/>
        <v>1801726.3320164827</v>
      </c>
    </row>
    <row r="47" spans="1:12" x14ac:dyDescent="0.2">
      <c r="A47" s="158">
        <f t="shared" si="4"/>
        <v>17</v>
      </c>
      <c r="B47" s="161" t="s">
        <v>134</v>
      </c>
      <c r="C47" s="160">
        <v>5000</v>
      </c>
      <c r="D47" s="159" t="s">
        <v>77</v>
      </c>
      <c r="E47" s="181">
        <v>4000</v>
      </c>
      <c r="F47" s="181">
        <f t="shared" si="3"/>
        <v>20000000</v>
      </c>
      <c r="G47" s="217">
        <f>+'C01_INICIAL'!F47</f>
        <v>4000</v>
      </c>
      <c r="H47" s="217">
        <f>+'CO2'!F47</f>
        <v>234</v>
      </c>
      <c r="I47" s="217">
        <f>+'CO3'!F47</f>
        <v>2062.5</v>
      </c>
      <c r="J47" s="217">
        <f>+'CO4'!F47</f>
        <v>11050</v>
      </c>
      <c r="K47" s="217">
        <f t="shared" si="1"/>
        <v>4336.625</v>
      </c>
      <c r="L47" s="217">
        <f t="shared" si="5"/>
        <v>21683125</v>
      </c>
    </row>
    <row r="48" spans="1:12" x14ac:dyDescent="0.2">
      <c r="A48" s="158">
        <f t="shared" si="4"/>
        <v>18</v>
      </c>
      <c r="B48" s="156" t="s">
        <v>83</v>
      </c>
      <c r="C48" s="151">
        <v>5</v>
      </c>
      <c r="D48" s="159" t="s">
        <v>77</v>
      </c>
      <c r="E48" s="181">
        <v>650000</v>
      </c>
      <c r="F48" s="181">
        <f t="shared" si="3"/>
        <v>3250000</v>
      </c>
      <c r="G48" s="217">
        <f>+'C01_INICIAL'!F48</f>
        <v>650000</v>
      </c>
      <c r="H48" s="251">
        <f>+'CO2'!F48</f>
        <v>1198615.8499080529</v>
      </c>
      <c r="I48" s="217">
        <f>+'CO3'!F48</f>
        <v>466639</v>
      </c>
      <c r="J48" s="217">
        <f>+'CO4'!F48</f>
        <v>355000</v>
      </c>
      <c r="K48" s="217">
        <f t="shared" si="1"/>
        <v>667563.71247701324</v>
      </c>
      <c r="L48" s="217">
        <f t="shared" si="5"/>
        <v>3337818.5623850664</v>
      </c>
    </row>
    <row r="49" spans="1:12" x14ac:dyDescent="0.2">
      <c r="A49" s="158">
        <f t="shared" si="4"/>
        <v>19</v>
      </c>
      <c r="B49" s="156" t="s">
        <v>135</v>
      </c>
      <c r="C49" s="148">
        <v>40</v>
      </c>
      <c r="D49" s="159" t="s">
        <v>77</v>
      </c>
      <c r="E49" s="181">
        <v>290000</v>
      </c>
      <c r="F49" s="181">
        <f t="shared" si="3"/>
        <v>11600000</v>
      </c>
      <c r="G49" s="217">
        <f>+'C01_INICIAL'!F49</f>
        <v>290000</v>
      </c>
      <c r="H49" s="217">
        <f>+'CO2'!F49</f>
        <v>261300</v>
      </c>
      <c r="I49" s="217">
        <f>+'CO3'!F49</f>
        <v>191400</v>
      </c>
      <c r="J49" s="217">
        <f>+'CO4'!F49</f>
        <v>252000</v>
      </c>
      <c r="K49" s="217">
        <f t="shared" si="1"/>
        <v>248675</v>
      </c>
      <c r="L49" s="217">
        <f t="shared" si="5"/>
        <v>9947000</v>
      </c>
    </row>
    <row r="50" spans="1:12" x14ac:dyDescent="0.2">
      <c r="A50" s="158">
        <f t="shared" si="4"/>
        <v>20</v>
      </c>
      <c r="B50" s="156" t="s">
        <v>84</v>
      </c>
      <c r="C50" s="151">
        <v>1</v>
      </c>
      <c r="D50" s="159" t="s">
        <v>77</v>
      </c>
      <c r="E50" s="181">
        <v>650000</v>
      </c>
      <c r="F50" s="181">
        <f t="shared" si="3"/>
        <v>650000</v>
      </c>
      <c r="G50" s="217">
        <f>+'C01_INICIAL'!F50</f>
        <v>650000</v>
      </c>
      <c r="H50" s="251">
        <f>+'CO2'!F50</f>
        <v>2720310.3194620861</v>
      </c>
      <c r="I50" s="217">
        <f>+'CO3'!F50</f>
        <v>466639</v>
      </c>
      <c r="J50" s="217">
        <f>+'CO4'!F50</f>
        <v>161995</v>
      </c>
      <c r="K50" s="217">
        <f t="shared" si="1"/>
        <v>999736.07986552152</v>
      </c>
      <c r="L50" s="217">
        <f t="shared" si="5"/>
        <v>999736.07986552152</v>
      </c>
    </row>
    <row r="51" spans="1:12" x14ac:dyDescent="0.2">
      <c r="A51" s="158">
        <f t="shared" si="4"/>
        <v>21</v>
      </c>
      <c r="B51" s="156" t="s">
        <v>85</v>
      </c>
      <c r="C51" s="151">
        <v>2</v>
      </c>
      <c r="D51" s="159" t="s">
        <v>77</v>
      </c>
      <c r="E51" s="181">
        <v>390000</v>
      </c>
      <c r="F51" s="181">
        <f t="shared" si="3"/>
        <v>780000</v>
      </c>
      <c r="G51" s="217">
        <f>+'C01_INICIAL'!F51</f>
        <v>390000</v>
      </c>
      <c r="H51" s="217">
        <f>+'CO2'!F51</f>
        <v>728000</v>
      </c>
      <c r="I51" s="217">
        <f>+'CO3'!F51</f>
        <v>425000</v>
      </c>
      <c r="J51" s="217">
        <f>+'CO4'!F51</f>
        <v>973000</v>
      </c>
      <c r="K51" s="217">
        <f t="shared" si="1"/>
        <v>629000</v>
      </c>
      <c r="L51" s="217">
        <f t="shared" si="5"/>
        <v>1258000</v>
      </c>
    </row>
    <row r="52" spans="1:12" x14ac:dyDescent="0.2">
      <c r="A52" s="158">
        <f t="shared" si="4"/>
        <v>22</v>
      </c>
      <c r="B52" s="156" t="s">
        <v>86</v>
      </c>
      <c r="C52" s="151">
        <v>1</v>
      </c>
      <c r="D52" s="159" t="s">
        <v>77</v>
      </c>
      <c r="E52" s="181">
        <v>730000</v>
      </c>
      <c r="F52" s="181">
        <f t="shared" si="3"/>
        <v>730000</v>
      </c>
      <c r="G52" s="217">
        <f>+'C01_INICIAL'!F52</f>
        <v>730000</v>
      </c>
      <c r="H52" s="251">
        <f>+'CO2'!F52</f>
        <v>2305292.3308249991</v>
      </c>
      <c r="I52" s="217">
        <f>+'CO3'!F52</f>
        <v>466639</v>
      </c>
      <c r="J52" s="217">
        <f>+'CO4'!F52</f>
        <v>511980</v>
      </c>
      <c r="K52" s="217">
        <f t="shared" si="1"/>
        <v>1003477.8327062498</v>
      </c>
      <c r="L52" s="217">
        <f t="shared" si="5"/>
        <v>1003477.8327062498</v>
      </c>
    </row>
    <row r="53" spans="1:12" x14ac:dyDescent="0.2">
      <c r="A53" s="158">
        <f t="shared" si="4"/>
        <v>23</v>
      </c>
      <c r="B53" s="156" t="s">
        <v>87</v>
      </c>
      <c r="C53" s="151">
        <v>1</v>
      </c>
      <c r="D53" s="159" t="s">
        <v>77</v>
      </c>
      <c r="E53" s="181">
        <v>280000</v>
      </c>
      <c r="F53" s="181">
        <f t="shared" si="3"/>
        <v>280000</v>
      </c>
      <c r="G53" s="217">
        <f>+'C01_INICIAL'!F53</f>
        <v>280000</v>
      </c>
      <c r="H53" s="217">
        <f>+'CO2'!F53</f>
        <v>624000</v>
      </c>
      <c r="I53" s="217">
        <f>+'CO3'!F53</f>
        <v>87000</v>
      </c>
      <c r="J53" s="217">
        <f>+'CO4'!F53</f>
        <v>1540000</v>
      </c>
      <c r="K53" s="217">
        <f t="shared" si="1"/>
        <v>632750</v>
      </c>
      <c r="L53" s="217">
        <f t="shared" si="5"/>
        <v>632750</v>
      </c>
    </row>
    <row r="54" spans="1:12" x14ac:dyDescent="0.2">
      <c r="A54" s="158">
        <f t="shared" si="4"/>
        <v>24</v>
      </c>
      <c r="B54" s="156" t="s">
        <v>88</v>
      </c>
      <c r="C54" s="151">
        <v>1</v>
      </c>
      <c r="D54" s="159" t="s">
        <v>77</v>
      </c>
      <c r="E54" s="181">
        <v>730000</v>
      </c>
      <c r="F54" s="181">
        <f t="shared" si="3"/>
        <v>730000</v>
      </c>
      <c r="G54" s="217">
        <f>+'C01_INICIAL'!F54</f>
        <v>730000</v>
      </c>
      <c r="H54" s="251">
        <f>+'CO2'!F54</f>
        <v>2305292.3308249991</v>
      </c>
      <c r="I54" s="217">
        <f>+'CO3'!F54</f>
        <v>466639</v>
      </c>
      <c r="J54" s="217">
        <f>+'CO4'!F54</f>
        <v>511980</v>
      </c>
      <c r="K54" s="217">
        <f t="shared" si="1"/>
        <v>1003477.8327062498</v>
      </c>
      <c r="L54" s="217">
        <f t="shared" si="5"/>
        <v>1003477.8327062498</v>
      </c>
    </row>
    <row r="55" spans="1:12" x14ac:dyDescent="0.2">
      <c r="A55" s="158">
        <f t="shared" si="4"/>
        <v>25</v>
      </c>
      <c r="B55" s="156" t="s">
        <v>89</v>
      </c>
      <c r="C55" s="151">
        <v>2</v>
      </c>
      <c r="D55" s="159" t="s">
        <v>77</v>
      </c>
      <c r="E55" s="181">
        <v>540000</v>
      </c>
      <c r="F55" s="181">
        <f t="shared" si="3"/>
        <v>1080000</v>
      </c>
      <c r="G55" s="217">
        <f>+'C01_INICIAL'!F55</f>
        <v>540000</v>
      </c>
      <c r="H55" s="217">
        <f>+'CO2'!F55</f>
        <v>874640</v>
      </c>
      <c r="I55" s="217">
        <f>+'CO3'!F55</f>
        <v>174000</v>
      </c>
      <c r="J55" s="217">
        <f>+'CO4'!F55</f>
        <v>1750000</v>
      </c>
      <c r="K55" s="217">
        <f t="shared" si="1"/>
        <v>834660</v>
      </c>
      <c r="L55" s="217">
        <f t="shared" si="5"/>
        <v>1669320</v>
      </c>
    </row>
    <row r="56" spans="1:12" x14ac:dyDescent="0.2">
      <c r="A56" s="158">
        <f>+A55+1</f>
        <v>26</v>
      </c>
      <c r="B56" s="156" t="s">
        <v>90</v>
      </c>
      <c r="C56" s="151">
        <v>1</v>
      </c>
      <c r="D56" s="159" t="s">
        <v>77</v>
      </c>
      <c r="E56" s="181">
        <v>790000</v>
      </c>
      <c r="F56" s="181">
        <f t="shared" si="3"/>
        <v>790000</v>
      </c>
      <c r="G56" s="217">
        <f>+'C01_INICIAL'!F56</f>
        <v>790000</v>
      </c>
      <c r="H56" s="251">
        <f>+'CO2'!F56</f>
        <v>2305292.3308249991</v>
      </c>
      <c r="I56" s="217">
        <f>+'CO3'!F56</f>
        <v>1079340</v>
      </c>
      <c r="J56" s="217">
        <f>+'CO4'!F56</f>
        <v>675780</v>
      </c>
      <c r="K56" s="217">
        <f t="shared" si="1"/>
        <v>1212603.0827062498</v>
      </c>
      <c r="L56" s="217">
        <f t="shared" si="5"/>
        <v>1212603.0827062498</v>
      </c>
    </row>
    <row r="57" spans="1:12" x14ac:dyDescent="0.2">
      <c r="A57" s="158">
        <f t="shared" si="4"/>
        <v>27</v>
      </c>
      <c r="B57" s="156" t="s">
        <v>91</v>
      </c>
      <c r="C57" s="151">
        <v>2</v>
      </c>
      <c r="D57" s="159" t="s">
        <v>77</v>
      </c>
      <c r="E57" s="181" t="s">
        <v>190</v>
      </c>
      <c r="F57" s="181" t="s">
        <v>190</v>
      </c>
      <c r="G57" s="217" t="str">
        <f>+'C01_INICIAL'!F57</f>
        <v>N/A</v>
      </c>
      <c r="H57" s="217">
        <f>+'CO2'!F57</f>
        <v>1216800</v>
      </c>
      <c r="I57" s="217">
        <f>+'CO3'!F57</f>
        <v>261000</v>
      </c>
      <c r="J57" s="217">
        <f>+'CO4'!F57</f>
        <v>2380000</v>
      </c>
      <c r="K57" s="217">
        <f t="shared" si="1"/>
        <v>1285933.3333333333</v>
      </c>
      <c r="L57" s="217">
        <f t="shared" si="5"/>
        <v>2571866.6666666665</v>
      </c>
    </row>
    <row r="58" spans="1:12" x14ac:dyDescent="0.2">
      <c r="A58" s="158">
        <f t="shared" si="4"/>
        <v>28</v>
      </c>
      <c r="B58" s="156" t="s">
        <v>92</v>
      </c>
      <c r="C58" s="151">
        <v>1</v>
      </c>
      <c r="D58" s="159" t="s">
        <v>77</v>
      </c>
      <c r="E58" s="181">
        <v>920000</v>
      </c>
      <c r="F58" s="181">
        <f>+E58*C58</f>
        <v>920000</v>
      </c>
      <c r="G58" s="217">
        <f>+'C01_INICIAL'!F58</f>
        <v>920000</v>
      </c>
      <c r="H58" s="251">
        <f>+'CO2'!F58</f>
        <v>2305292.3308249991</v>
      </c>
      <c r="I58" s="217">
        <f>+'CO3'!F58</f>
        <v>1079340</v>
      </c>
      <c r="J58" s="217">
        <f>+'CO4'!F58</f>
        <v>675780</v>
      </c>
      <c r="K58" s="217">
        <f t="shared" si="1"/>
        <v>1245103.0827062498</v>
      </c>
      <c r="L58" s="217">
        <f t="shared" si="5"/>
        <v>1245103.0827062498</v>
      </c>
    </row>
    <row r="59" spans="1:12" x14ac:dyDescent="0.2">
      <c r="A59" s="158">
        <f t="shared" si="4"/>
        <v>29</v>
      </c>
      <c r="B59" s="156" t="s">
        <v>93</v>
      </c>
      <c r="C59" s="151">
        <v>1</v>
      </c>
      <c r="D59" s="159" t="s">
        <v>77</v>
      </c>
      <c r="E59" s="181" t="s">
        <v>190</v>
      </c>
      <c r="F59" s="181" t="s">
        <v>190</v>
      </c>
      <c r="G59" s="217" t="str">
        <f>+'C01_INICIAL'!F59</f>
        <v>N/A</v>
      </c>
      <c r="H59" s="217">
        <f>+'CO2'!F59</f>
        <v>874640</v>
      </c>
      <c r="I59" s="217">
        <f>+'CO3'!F59</f>
        <v>174000</v>
      </c>
      <c r="J59" s="217">
        <f>+'CO4'!F59</f>
        <v>4480000</v>
      </c>
      <c r="K59" s="217">
        <f t="shared" si="1"/>
        <v>1842880</v>
      </c>
      <c r="L59" s="217">
        <f t="shared" si="5"/>
        <v>1842880</v>
      </c>
    </row>
    <row r="60" spans="1:12" x14ac:dyDescent="0.2">
      <c r="A60" s="158">
        <f t="shared" si="4"/>
        <v>30</v>
      </c>
      <c r="B60" s="156" t="s">
        <v>94</v>
      </c>
      <c r="C60" s="151">
        <v>1</v>
      </c>
      <c r="D60" s="159" t="s">
        <v>77</v>
      </c>
      <c r="E60" s="181">
        <v>920000</v>
      </c>
      <c r="F60" s="181">
        <f>+E60*C60</f>
        <v>920000</v>
      </c>
      <c r="G60" s="217">
        <f>+'C01_INICIAL'!F60</f>
        <v>920000</v>
      </c>
      <c r="H60" s="251">
        <f>+'CO2'!F60</f>
        <v>2305292.3308249991</v>
      </c>
      <c r="I60" s="217">
        <f>+'CO3'!F60</f>
        <v>1079340</v>
      </c>
      <c r="J60" s="217">
        <f>+'CO4'!F60</f>
        <v>675780</v>
      </c>
      <c r="K60" s="217">
        <f t="shared" si="1"/>
        <v>1245103.0827062498</v>
      </c>
      <c r="L60" s="217">
        <f t="shared" si="5"/>
        <v>1245103.0827062498</v>
      </c>
    </row>
    <row r="61" spans="1:12" x14ac:dyDescent="0.2">
      <c r="A61" s="158">
        <f t="shared" si="4"/>
        <v>31</v>
      </c>
      <c r="B61" s="156" t="s">
        <v>95</v>
      </c>
      <c r="C61" s="151">
        <v>1</v>
      </c>
      <c r="D61" s="159" t="s">
        <v>77</v>
      </c>
      <c r="E61" s="181" t="s">
        <v>190</v>
      </c>
      <c r="F61" s="181" t="s">
        <v>190</v>
      </c>
      <c r="G61" s="217" t="str">
        <f>+'C01_INICIAL'!F61</f>
        <v>N/A</v>
      </c>
      <c r="H61" s="251">
        <f>+'CO2'!F61</f>
        <v>2730000</v>
      </c>
      <c r="I61" s="217">
        <f>+'CO3'!F61</f>
        <v>522000</v>
      </c>
      <c r="J61" s="217">
        <f>+'CO4'!F61</f>
        <v>4760000</v>
      </c>
      <c r="K61" s="217">
        <f t="shared" si="1"/>
        <v>2670666.6666666665</v>
      </c>
      <c r="L61" s="217">
        <f t="shared" si="5"/>
        <v>2670666.6666666665</v>
      </c>
    </row>
    <row r="62" spans="1:12" hidden="1" x14ac:dyDescent="0.2">
      <c r="A62" s="158">
        <f t="shared" si="4"/>
        <v>32</v>
      </c>
      <c r="B62" s="156" t="s">
        <v>96</v>
      </c>
      <c r="C62" s="151">
        <v>1</v>
      </c>
      <c r="D62" s="159" t="s">
        <v>77</v>
      </c>
      <c r="E62" s="181"/>
      <c r="F62" s="181">
        <f t="shared" ref="F62:F67" si="6">+E62*C62</f>
        <v>0</v>
      </c>
      <c r="G62" s="217">
        <f>+'C01_INICIAL'!F62</f>
        <v>0</v>
      </c>
      <c r="H62" s="217">
        <f>+'CO2'!F62</f>
        <v>263900</v>
      </c>
      <c r="I62" s="217">
        <f>+'CO3'!F62</f>
        <v>0</v>
      </c>
      <c r="J62" s="217">
        <f>+'CO4'!F62</f>
        <v>0</v>
      </c>
      <c r="K62" s="217">
        <f t="shared" si="1"/>
        <v>65975</v>
      </c>
      <c r="L62" s="217">
        <f t="shared" si="5"/>
        <v>65975</v>
      </c>
    </row>
    <row r="63" spans="1:12" hidden="1" x14ac:dyDescent="0.2">
      <c r="A63" s="158">
        <f t="shared" si="4"/>
        <v>33</v>
      </c>
      <c r="B63" s="156" t="s">
        <v>97</v>
      </c>
      <c r="C63" s="151">
        <v>1</v>
      </c>
      <c r="D63" s="159" t="s">
        <v>77</v>
      </c>
      <c r="E63" s="181"/>
      <c r="F63" s="181">
        <f t="shared" si="6"/>
        <v>0</v>
      </c>
      <c r="G63" s="217">
        <f>+'C01_INICIAL'!F63</f>
        <v>0</v>
      </c>
      <c r="H63" s="217">
        <f>+'CO2'!F63</f>
        <v>455000</v>
      </c>
      <c r="I63" s="217">
        <f>+'CO3'!F63</f>
        <v>0</v>
      </c>
      <c r="J63" s="217">
        <f>+'CO4'!F63</f>
        <v>0</v>
      </c>
      <c r="K63" s="217">
        <f t="shared" si="1"/>
        <v>113750</v>
      </c>
      <c r="L63" s="217">
        <f t="shared" si="5"/>
        <v>113750</v>
      </c>
    </row>
    <row r="64" spans="1:12" hidden="1" x14ac:dyDescent="0.2">
      <c r="A64" s="158">
        <f t="shared" si="4"/>
        <v>34</v>
      </c>
      <c r="B64" s="156" t="s">
        <v>98</v>
      </c>
      <c r="C64" s="151">
        <v>1</v>
      </c>
      <c r="D64" s="159" t="s">
        <v>77</v>
      </c>
      <c r="E64" s="181"/>
      <c r="F64" s="181">
        <f t="shared" si="6"/>
        <v>0</v>
      </c>
      <c r="G64" s="217">
        <f>+'C01_INICIAL'!F64</f>
        <v>0</v>
      </c>
      <c r="H64" s="217">
        <f>+'CO2'!F64</f>
        <v>728000</v>
      </c>
      <c r="I64" s="217">
        <f>+'CO3'!F64</f>
        <v>0</v>
      </c>
      <c r="J64" s="217">
        <f>+'CO4'!F64</f>
        <v>0</v>
      </c>
      <c r="K64" s="217">
        <f t="shared" si="1"/>
        <v>182000</v>
      </c>
      <c r="L64" s="217">
        <f t="shared" si="5"/>
        <v>182000</v>
      </c>
    </row>
    <row r="65" spans="1:12" hidden="1" x14ac:dyDescent="0.2">
      <c r="A65" s="158">
        <f t="shared" si="4"/>
        <v>35</v>
      </c>
      <c r="B65" s="156" t="s">
        <v>99</v>
      </c>
      <c r="C65" s="151">
        <v>1</v>
      </c>
      <c r="D65" s="159" t="s">
        <v>77</v>
      </c>
      <c r="E65" s="181"/>
      <c r="F65" s="181">
        <f t="shared" si="6"/>
        <v>0</v>
      </c>
      <c r="G65" s="217">
        <f>+'C01_INICIAL'!F65</f>
        <v>0</v>
      </c>
      <c r="H65" s="217">
        <f>+'CO2'!F65</f>
        <v>874640</v>
      </c>
      <c r="I65" s="217">
        <f>+'CO3'!F65</f>
        <v>0</v>
      </c>
      <c r="J65" s="217">
        <f>+'CO4'!F65</f>
        <v>0</v>
      </c>
      <c r="K65" s="217">
        <f t="shared" si="1"/>
        <v>218660</v>
      </c>
      <c r="L65" s="217">
        <f t="shared" si="5"/>
        <v>218660</v>
      </c>
    </row>
    <row r="66" spans="1:12" hidden="1" x14ac:dyDescent="0.2">
      <c r="A66" s="158">
        <f t="shared" si="4"/>
        <v>36</v>
      </c>
      <c r="B66" s="156" t="s">
        <v>100</v>
      </c>
      <c r="C66" s="151">
        <v>1</v>
      </c>
      <c r="D66" s="154" t="s">
        <v>77</v>
      </c>
      <c r="E66" s="181"/>
      <c r="F66" s="181">
        <f t="shared" si="6"/>
        <v>0</v>
      </c>
      <c r="G66" s="217">
        <f>+'C01_INICIAL'!F66</f>
        <v>0</v>
      </c>
      <c r="H66" s="217">
        <f>+'CO2'!F66</f>
        <v>1216800</v>
      </c>
      <c r="I66" s="217">
        <f>+'CO3'!F66</f>
        <v>0</v>
      </c>
      <c r="J66" s="217">
        <f>+'CO4'!F66</f>
        <v>0</v>
      </c>
      <c r="K66" s="217">
        <f t="shared" si="1"/>
        <v>304200</v>
      </c>
      <c r="L66" s="217">
        <f t="shared" si="5"/>
        <v>304200</v>
      </c>
    </row>
    <row r="67" spans="1:12" x14ac:dyDescent="0.2">
      <c r="A67" s="158">
        <f t="shared" si="4"/>
        <v>37</v>
      </c>
      <c r="B67" s="156" t="s">
        <v>155</v>
      </c>
      <c r="C67" s="151">
        <v>5000</v>
      </c>
      <c r="D67" s="159"/>
      <c r="E67" s="181">
        <v>3200</v>
      </c>
      <c r="F67" s="181">
        <f t="shared" si="6"/>
        <v>16000000</v>
      </c>
      <c r="G67" s="217">
        <f>+'C01_INICIAL'!F67</f>
        <v>3200</v>
      </c>
      <c r="H67" s="217">
        <f>+'CO2'!F67</f>
        <v>1430</v>
      </c>
      <c r="I67" s="217">
        <f>+'CO3'!F67</f>
        <v>4060</v>
      </c>
      <c r="J67" s="217">
        <f>+'CO4'!F67</f>
        <v>4900</v>
      </c>
      <c r="K67" s="217">
        <f t="shared" si="1"/>
        <v>3397.5</v>
      </c>
      <c r="L67" s="217">
        <f t="shared" si="5"/>
        <v>16987500</v>
      </c>
    </row>
    <row r="68" spans="1:12" x14ac:dyDescent="0.2">
      <c r="A68" s="143"/>
      <c r="B68" s="551" t="s">
        <v>178</v>
      </c>
      <c r="C68" s="552"/>
      <c r="D68" s="552"/>
      <c r="E68" s="552"/>
      <c r="F68" s="553"/>
      <c r="G68" s="217">
        <f>+'C01_INICIAL'!F68</f>
        <v>0</v>
      </c>
      <c r="H68" s="217">
        <f>+'CO2'!F68</f>
        <v>0</v>
      </c>
      <c r="I68" s="217">
        <f>+'CO3'!F68</f>
        <v>0</v>
      </c>
      <c r="J68" s="217">
        <f>+'CO4'!F68</f>
        <v>0</v>
      </c>
      <c r="K68" s="217">
        <f t="shared" si="1"/>
        <v>0</v>
      </c>
      <c r="L68" s="217">
        <f t="shared" si="5"/>
        <v>0</v>
      </c>
    </row>
    <row r="69" spans="1:12" x14ac:dyDescent="0.2">
      <c r="A69" s="158">
        <v>1</v>
      </c>
      <c r="B69" s="156" t="s">
        <v>163</v>
      </c>
      <c r="C69" s="160">
        <v>1</v>
      </c>
      <c r="D69" s="159"/>
      <c r="E69" s="181">
        <v>1200000</v>
      </c>
      <c r="F69" s="181">
        <v>1200000</v>
      </c>
      <c r="G69" s="251">
        <f>+'C01_INICIAL'!F69</f>
        <v>1200000</v>
      </c>
      <c r="H69" s="217">
        <f>+'CO2'!F69</f>
        <v>364</v>
      </c>
      <c r="I69" s="217">
        <f>+'CO3'!F69</f>
        <v>663917</v>
      </c>
      <c r="J69" s="217">
        <f>+'CO4'!F69</f>
        <v>476050</v>
      </c>
      <c r="K69" s="217">
        <f t="shared" si="1"/>
        <v>585082.75</v>
      </c>
      <c r="L69" s="217">
        <f t="shared" si="5"/>
        <v>585082.75</v>
      </c>
    </row>
    <row r="70" spans="1:12" x14ac:dyDescent="0.2">
      <c r="A70" s="158">
        <v>2</v>
      </c>
      <c r="B70" s="156" t="s">
        <v>164</v>
      </c>
      <c r="C70" s="160">
        <v>58500</v>
      </c>
      <c r="D70" s="159" t="s">
        <v>77</v>
      </c>
      <c r="E70" s="181">
        <v>270</v>
      </c>
      <c r="F70" s="181">
        <f>+E70*C70</f>
        <v>15795000</v>
      </c>
      <c r="G70" s="217">
        <f>+'C01_INICIAL'!F70</f>
        <v>270</v>
      </c>
      <c r="H70" s="251">
        <f>+'CO2'!F70</f>
        <v>3197182.3993580537</v>
      </c>
      <c r="I70" s="217">
        <f>+'CO3'!F70</f>
        <v>223.88</v>
      </c>
      <c r="J70" s="217">
        <f>+'CO4'!F70</f>
        <v>605</v>
      </c>
      <c r="K70" s="217">
        <f t="shared" si="1"/>
        <v>799570.31983951339</v>
      </c>
      <c r="L70" s="217">
        <f t="shared" si="5"/>
        <v>46774863710.611534</v>
      </c>
    </row>
    <row r="71" spans="1:12" ht="25.5" x14ac:dyDescent="0.2">
      <c r="A71" s="158">
        <v>3</v>
      </c>
      <c r="B71" s="156" t="s">
        <v>165</v>
      </c>
      <c r="C71" s="160">
        <v>1</v>
      </c>
      <c r="D71" s="159"/>
      <c r="E71" s="181">
        <v>2300000</v>
      </c>
      <c r="F71" s="181">
        <v>2300000</v>
      </c>
      <c r="G71" s="217">
        <f>+'C01_INICIAL'!F71</f>
        <v>2300000</v>
      </c>
      <c r="H71" s="217">
        <f>+'CO2'!F71</f>
        <v>2990</v>
      </c>
      <c r="I71" s="217" t="e">
        <f>+'CO3'!#REF!</f>
        <v>#REF!</v>
      </c>
      <c r="J71" s="217">
        <f>+'CO4'!F71</f>
        <v>185100</v>
      </c>
      <c r="K71" s="217" t="e">
        <f t="shared" si="1"/>
        <v>#REF!</v>
      </c>
      <c r="L71" s="217" t="e">
        <f t="shared" si="5"/>
        <v>#REF!</v>
      </c>
    </row>
    <row r="72" spans="1:12" ht="25.5" x14ac:dyDescent="0.2">
      <c r="A72" s="158">
        <v>4</v>
      </c>
      <c r="B72" s="156" t="s">
        <v>166</v>
      </c>
      <c r="C72" s="160">
        <v>29250</v>
      </c>
      <c r="D72" s="159" t="s">
        <v>77</v>
      </c>
      <c r="E72" s="181">
        <v>1900</v>
      </c>
      <c r="F72" s="181">
        <f>+E72*C72</f>
        <v>55575000</v>
      </c>
      <c r="G72" s="217">
        <f>+'C01_INICIAL'!F72</f>
        <v>1900</v>
      </c>
      <c r="H72" s="251">
        <f>+'CO2'!F72</f>
        <v>1022163.3362408016</v>
      </c>
      <c r="I72" s="217" t="e">
        <f>+'CO3'!#REF!</f>
        <v>#REF!</v>
      </c>
      <c r="J72" s="217">
        <f>+'CO4'!F72</f>
        <v>4384</v>
      </c>
      <c r="K72" s="217" t="e">
        <f t="shared" si="1"/>
        <v>#REF!</v>
      </c>
      <c r="L72" s="217" t="e">
        <f t="shared" si="5"/>
        <v>#REF!</v>
      </c>
    </row>
    <row r="73" spans="1:12" ht="25.5" x14ac:dyDescent="0.2">
      <c r="A73" s="158">
        <v>5</v>
      </c>
      <c r="B73" s="156" t="s">
        <v>167</v>
      </c>
      <c r="C73" s="160">
        <v>1</v>
      </c>
      <c r="D73" s="159"/>
      <c r="E73" s="181">
        <v>2500000</v>
      </c>
      <c r="F73" s="181">
        <v>2500000</v>
      </c>
      <c r="G73" s="251">
        <f>+'C01_INICIAL'!F73</f>
        <v>2500000</v>
      </c>
      <c r="H73" s="217">
        <f>+'CO2'!F73</f>
        <v>325</v>
      </c>
      <c r="I73" s="217">
        <f>+'CO3'!F71</f>
        <v>360413</v>
      </c>
      <c r="J73" s="217">
        <f>+'CO4'!F73</f>
        <v>760725</v>
      </c>
      <c r="K73" s="217">
        <f t="shared" si="1"/>
        <v>905365.75</v>
      </c>
      <c r="L73" s="217">
        <f t="shared" si="5"/>
        <v>905365.75</v>
      </c>
    </row>
    <row r="74" spans="1:12" ht="25.5" x14ac:dyDescent="0.2">
      <c r="A74" s="158">
        <v>6</v>
      </c>
      <c r="B74" s="156" t="s">
        <v>168</v>
      </c>
      <c r="C74" s="160">
        <v>29250</v>
      </c>
      <c r="D74" s="159" t="s">
        <v>77</v>
      </c>
      <c r="E74" s="181">
        <v>2800</v>
      </c>
      <c r="F74" s="181">
        <f>+E74*C74</f>
        <v>81900000</v>
      </c>
      <c r="G74" s="217">
        <f>+'C01_INICIAL'!F74</f>
        <v>2800</v>
      </c>
      <c r="H74" s="251">
        <f>+'CO2'!F74</f>
        <v>3200214.8770128721</v>
      </c>
      <c r="I74" s="217">
        <f>+'CO3'!F72</f>
        <v>266.8</v>
      </c>
      <c r="J74" s="217">
        <f>+'CO4'!F74</f>
        <v>372</v>
      </c>
      <c r="K74" s="252">
        <f t="shared" si="1"/>
        <v>800913.41925321799</v>
      </c>
      <c r="L74" s="217">
        <f t="shared" si="5"/>
        <v>23426717513.156628</v>
      </c>
    </row>
    <row r="75" spans="1:12" x14ac:dyDescent="0.2">
      <c r="A75" s="158">
        <v>7</v>
      </c>
      <c r="B75" s="156" t="s">
        <v>149</v>
      </c>
      <c r="C75" s="160">
        <v>29250</v>
      </c>
      <c r="D75" s="159" t="s">
        <v>77</v>
      </c>
      <c r="E75" s="181">
        <v>25000</v>
      </c>
      <c r="F75" s="181">
        <f>+E75*C75</f>
        <v>731250000</v>
      </c>
      <c r="G75" s="217">
        <f>+'C01_INICIAL'!F75</f>
        <v>25000</v>
      </c>
      <c r="H75" s="217">
        <f>+'CO2'!F75</f>
        <v>26000</v>
      </c>
      <c r="I75" s="217">
        <f>+'CO3'!F73</f>
        <v>0</v>
      </c>
      <c r="J75" s="217">
        <f>+'CO4'!F75</f>
        <v>31850</v>
      </c>
      <c r="K75" s="217">
        <f t="shared" si="1"/>
        <v>20712.5</v>
      </c>
      <c r="L75" s="217">
        <f t="shared" si="5"/>
        <v>605840625</v>
      </c>
    </row>
    <row r="76" spans="1:12" x14ac:dyDescent="0.2">
      <c r="A76" s="158">
        <v>8</v>
      </c>
      <c r="B76" s="156" t="s">
        <v>150</v>
      </c>
      <c r="C76" s="160">
        <v>29250</v>
      </c>
      <c r="D76" s="159" t="s">
        <v>77</v>
      </c>
      <c r="E76" s="181">
        <v>3500</v>
      </c>
      <c r="F76" s="181">
        <f>+E76*C76</f>
        <v>102375000</v>
      </c>
      <c r="G76" s="217">
        <f>+'C01_INICIAL'!F76</f>
        <v>3500</v>
      </c>
      <c r="H76" s="217">
        <f>+'CO2'!F76</f>
        <v>650</v>
      </c>
      <c r="I76" s="217">
        <f>+'CO3'!F74</f>
        <v>0</v>
      </c>
      <c r="J76" s="217">
        <f>+'CO4'!F76</f>
        <v>20000</v>
      </c>
      <c r="K76" s="217">
        <f t="shared" si="1"/>
        <v>6037.5</v>
      </c>
      <c r="L76" s="217">
        <f t="shared" ref="L76:L87" si="7">+K76*C76</f>
        <v>176596875</v>
      </c>
    </row>
    <row r="77" spans="1:12" x14ac:dyDescent="0.2">
      <c r="A77" s="146">
        <v>9</v>
      </c>
      <c r="B77" s="156" t="s">
        <v>76</v>
      </c>
      <c r="C77" s="160">
        <v>29250</v>
      </c>
      <c r="D77" s="159" t="s">
        <v>77</v>
      </c>
      <c r="E77" s="181">
        <v>9200</v>
      </c>
      <c r="F77" s="181">
        <f>+E77*C77</f>
        <v>269100000</v>
      </c>
      <c r="G77" s="217">
        <f>+'C01_INICIAL'!F77</f>
        <v>9200</v>
      </c>
      <c r="H77" s="217">
        <f>+'CO2'!F77</f>
        <v>5000</v>
      </c>
      <c r="I77" s="217">
        <f>+'CO3'!F75</f>
        <v>0</v>
      </c>
      <c r="J77" s="217">
        <f>+'CO4'!F77</f>
        <v>4017</v>
      </c>
      <c r="K77" s="217">
        <f t="shared" ref="K77:K86" si="8">+AVERAGE(G77:J77)</f>
        <v>4554.25</v>
      </c>
      <c r="L77" s="217">
        <f t="shared" si="7"/>
        <v>133211812.5</v>
      </c>
    </row>
    <row r="78" spans="1:12" x14ac:dyDescent="0.2">
      <c r="A78" s="143"/>
      <c r="B78" s="142" t="s">
        <v>179</v>
      </c>
      <c r="C78" s="144"/>
      <c r="D78" s="142"/>
      <c r="E78" s="180"/>
      <c r="F78" s="180"/>
      <c r="G78" s="217">
        <f>+'C01_INICIAL'!F78</f>
        <v>0</v>
      </c>
      <c r="H78" s="217">
        <f>+'CO2'!F78</f>
        <v>0</v>
      </c>
      <c r="I78" s="217">
        <f>+'CO3'!F76</f>
        <v>0</v>
      </c>
      <c r="J78" s="217">
        <f>+'CO4'!F78</f>
        <v>0</v>
      </c>
      <c r="K78" s="217">
        <f t="shared" si="8"/>
        <v>0</v>
      </c>
      <c r="L78" s="217">
        <f t="shared" si="7"/>
        <v>0</v>
      </c>
    </row>
    <row r="79" spans="1:12" x14ac:dyDescent="0.2">
      <c r="A79" s="158" t="s">
        <v>180</v>
      </c>
      <c r="B79" s="156" t="s">
        <v>143</v>
      </c>
      <c r="C79" s="151">
        <v>1</v>
      </c>
      <c r="D79" s="159" t="s">
        <v>106</v>
      </c>
      <c r="E79" s="181">
        <v>3200000</v>
      </c>
      <c r="F79" s="181">
        <f>+E79*C79</f>
        <v>3200000</v>
      </c>
      <c r="G79" s="217">
        <f>+'C01_INICIAL'!F79</f>
        <v>3200000</v>
      </c>
      <c r="H79" s="217">
        <f>+'CO2'!F79</f>
        <v>15080000</v>
      </c>
      <c r="I79" s="251">
        <f>+'CO3'!F77</f>
        <v>35000000</v>
      </c>
      <c r="J79" s="217">
        <f>+'CO4'!F79</f>
        <v>21890000</v>
      </c>
      <c r="K79" s="217">
        <f t="shared" si="8"/>
        <v>18792500</v>
      </c>
      <c r="L79" s="217">
        <f t="shared" si="7"/>
        <v>18792500</v>
      </c>
    </row>
    <row r="80" spans="1:12" x14ac:dyDescent="0.2">
      <c r="A80" s="158" t="s">
        <v>181</v>
      </c>
      <c r="B80" s="156" t="s">
        <v>118</v>
      </c>
      <c r="C80" s="151">
        <v>1</v>
      </c>
      <c r="D80" s="159" t="s">
        <v>119</v>
      </c>
      <c r="E80" s="181">
        <v>15600000</v>
      </c>
      <c r="F80" s="181">
        <f>+E80*C80</f>
        <v>15600000</v>
      </c>
      <c r="G80" s="217">
        <f>+'C01_INICIAL'!F80</f>
        <v>15600000</v>
      </c>
      <c r="H80" s="217">
        <f>+'CO2'!F80</f>
        <v>37700000</v>
      </c>
      <c r="I80" s="251">
        <f>+'CO3'!F78</f>
        <v>235000000</v>
      </c>
      <c r="J80" s="217">
        <f>+'CO4'!F80</f>
        <v>49000000</v>
      </c>
      <c r="K80" s="217">
        <f t="shared" si="8"/>
        <v>84325000</v>
      </c>
      <c r="L80" s="217">
        <f t="shared" si="7"/>
        <v>84325000</v>
      </c>
    </row>
    <row r="81" spans="1:12" x14ac:dyDescent="0.2">
      <c r="A81" s="158" t="s">
        <v>182</v>
      </c>
      <c r="B81" s="156" t="s">
        <v>120</v>
      </c>
      <c r="C81" s="160">
        <v>4000</v>
      </c>
      <c r="D81" s="159" t="s">
        <v>108</v>
      </c>
      <c r="E81" s="181">
        <v>900</v>
      </c>
      <c r="F81" s="181">
        <f>+E81*C81</f>
        <v>3600000</v>
      </c>
      <c r="G81" s="217">
        <f>+'C01_INICIAL'!F81</f>
        <v>900</v>
      </c>
      <c r="H81" s="217">
        <f>+'CO2'!F81</f>
        <v>754</v>
      </c>
      <c r="I81" s="217">
        <f>+'CO3'!F79</f>
        <v>500</v>
      </c>
      <c r="J81" s="217">
        <f>+'CO4'!F81</f>
        <v>3000</v>
      </c>
      <c r="K81" s="217">
        <f t="shared" si="8"/>
        <v>1288.5</v>
      </c>
      <c r="L81" s="217">
        <f t="shared" si="7"/>
        <v>5154000</v>
      </c>
    </row>
    <row r="82" spans="1:12" ht="25.5" x14ac:dyDescent="0.2">
      <c r="A82" s="143"/>
      <c r="B82" s="165" t="s">
        <v>121</v>
      </c>
      <c r="C82" s="144"/>
      <c r="D82" s="142"/>
      <c r="E82" s="180"/>
      <c r="F82" s="180"/>
      <c r="G82" s="217">
        <f>+'C01_INICIAL'!F82</f>
        <v>0</v>
      </c>
      <c r="H82" s="217">
        <f>+'CO2'!F82</f>
        <v>0</v>
      </c>
      <c r="I82" s="217">
        <f>+'CO3'!F80</f>
        <v>0</v>
      </c>
      <c r="J82" s="217">
        <f>+'CO4'!F82</f>
        <v>0</v>
      </c>
      <c r="K82" s="217">
        <f t="shared" si="8"/>
        <v>0</v>
      </c>
      <c r="L82" s="217">
        <f t="shared" si="7"/>
        <v>0</v>
      </c>
    </row>
    <row r="83" spans="1:12" x14ac:dyDescent="0.2">
      <c r="A83" s="158"/>
      <c r="B83" s="156" t="s">
        <v>122</v>
      </c>
      <c r="C83" s="151"/>
      <c r="D83" s="159"/>
      <c r="E83" s="181"/>
      <c r="F83" s="181"/>
      <c r="G83" s="217">
        <f>+'C01_INICIAL'!F83</f>
        <v>0</v>
      </c>
      <c r="H83" s="217">
        <f>+'CO2'!F83</f>
        <v>0</v>
      </c>
      <c r="I83" s="217">
        <f>+'CO3'!F81</f>
        <v>0</v>
      </c>
      <c r="J83" s="217">
        <f>+'CO4'!F83</f>
        <v>0</v>
      </c>
      <c r="K83" s="217">
        <f t="shared" si="8"/>
        <v>0</v>
      </c>
      <c r="L83" s="217">
        <f t="shared" si="7"/>
        <v>0</v>
      </c>
    </row>
    <row r="84" spans="1:12" x14ac:dyDescent="0.2">
      <c r="A84" s="143"/>
      <c r="B84" s="165" t="s">
        <v>183</v>
      </c>
      <c r="C84" s="144"/>
      <c r="D84" s="142"/>
      <c r="E84" s="180"/>
      <c r="F84" s="180"/>
      <c r="G84" s="217">
        <f>+'C01_INICIAL'!F84</f>
        <v>0</v>
      </c>
      <c r="H84" s="217">
        <f>+'CO2'!F84</f>
        <v>0</v>
      </c>
      <c r="I84" s="217">
        <f>+'CO3'!F82</f>
        <v>0</v>
      </c>
      <c r="J84" s="217">
        <f>+'CO4'!F84</f>
        <v>0</v>
      </c>
      <c r="K84" s="217">
        <f t="shared" si="8"/>
        <v>0</v>
      </c>
      <c r="L84" s="217">
        <f t="shared" si="7"/>
        <v>0</v>
      </c>
    </row>
    <row r="85" spans="1:12" x14ac:dyDescent="0.2">
      <c r="A85" s="146" t="s">
        <v>184</v>
      </c>
      <c r="B85" s="147" t="s">
        <v>162</v>
      </c>
      <c r="C85" s="148">
        <v>1</v>
      </c>
      <c r="D85" s="166" t="s">
        <v>77</v>
      </c>
      <c r="E85" s="184">
        <v>100000000</v>
      </c>
      <c r="F85" s="181">
        <v>100000000</v>
      </c>
      <c r="G85" s="217">
        <f>+'C01_INICIAL'!F85</f>
        <v>100000000</v>
      </c>
      <c r="H85" s="217">
        <f>+'CO2'!F85</f>
        <v>18096000</v>
      </c>
      <c r="I85" s="217">
        <f>+'CO3'!F83</f>
        <v>96000000</v>
      </c>
      <c r="J85" s="217">
        <f>+'CO4'!F85</f>
        <v>95500000</v>
      </c>
      <c r="K85" s="217">
        <f t="shared" si="8"/>
        <v>77399000</v>
      </c>
      <c r="L85" s="217">
        <f t="shared" si="7"/>
        <v>77399000</v>
      </c>
    </row>
    <row r="86" spans="1:12" x14ac:dyDescent="0.2">
      <c r="A86" s="167"/>
      <c r="B86" s="168" t="s">
        <v>185</v>
      </c>
      <c r="C86" s="169"/>
      <c r="D86" s="168"/>
      <c r="E86" s="180"/>
      <c r="F86" s="180"/>
      <c r="G86" s="217">
        <f>+'C01_INICIAL'!F86</f>
        <v>0</v>
      </c>
      <c r="H86" s="217">
        <f>+'CO2'!F86</f>
        <v>0</v>
      </c>
      <c r="I86" s="217">
        <f>+'CO3'!F84</f>
        <v>0</v>
      </c>
      <c r="J86" s="217">
        <f>+'CO4'!F86</f>
        <v>0</v>
      </c>
      <c r="K86" s="217">
        <f t="shared" si="8"/>
        <v>0</v>
      </c>
      <c r="L86" s="217">
        <f t="shared" si="7"/>
        <v>0</v>
      </c>
    </row>
    <row r="87" spans="1:12" x14ac:dyDescent="0.2">
      <c r="A87" s="146">
        <v>2.6</v>
      </c>
      <c r="B87" s="156" t="s">
        <v>103</v>
      </c>
      <c r="C87" s="151">
        <v>10</v>
      </c>
      <c r="D87" s="154" t="s">
        <v>105</v>
      </c>
      <c r="E87" s="184">
        <v>35000000</v>
      </c>
      <c r="F87" s="181">
        <f>C87*E87</f>
        <v>350000000</v>
      </c>
      <c r="G87" s="251">
        <f>+'C01_INICIAL'!F87</f>
        <v>35000000</v>
      </c>
      <c r="H87" s="217">
        <f>+'CO2'!F87</f>
        <v>12064000</v>
      </c>
      <c r="I87" s="217">
        <f>+'CO3'!F85</f>
        <v>11210000</v>
      </c>
      <c r="J87" s="217">
        <f>+'CO4'!F87</f>
        <v>8690000</v>
      </c>
      <c r="K87" s="217">
        <f>+AVERAGE(G87:J87)</f>
        <v>16741000</v>
      </c>
      <c r="L87" s="217">
        <f t="shared" si="7"/>
        <v>167410000</v>
      </c>
    </row>
    <row r="89" spans="1:12" x14ac:dyDescent="0.2">
      <c r="G89" s="215">
        <f t="shared" ref="G89:K89" si="9">+SUM(G12:G87)</f>
        <v>376898800</v>
      </c>
      <c r="H89" s="215">
        <f t="shared" si="9"/>
        <v>1788189008.9856043</v>
      </c>
      <c r="I89" s="215" t="e">
        <f t="shared" si="9"/>
        <v>#REF!</v>
      </c>
      <c r="J89" s="215">
        <f t="shared" si="9"/>
        <v>336656540</v>
      </c>
      <c r="K89" s="215" t="e">
        <f t="shared" si="9"/>
        <v>#REF!</v>
      </c>
      <c r="L89" s="215" t="e">
        <f>+SUM(L12:L87)</f>
        <v>#REF!</v>
      </c>
    </row>
  </sheetData>
  <mergeCells count="5">
    <mergeCell ref="A8:F8"/>
    <mergeCell ref="A9:B9"/>
    <mergeCell ref="A24:A26"/>
    <mergeCell ref="B24:B26"/>
    <mergeCell ref="B68:F68"/>
  </mergeCells>
  <pageMargins left="0.70866141732283472" right="0.70866141732283472" top="0.74803149606299213" bottom="0.74803149606299213" header="0.31496062992125984" footer="0.31496062992125984"/>
  <pageSetup scale="57" orientation="landscape" r:id="rId1"/>
  <rowBreaks count="2" manualBreakCount="2">
    <brk id="43" max="6" man="1"/>
    <brk id="83" max="6"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9"/>
  <sheetViews>
    <sheetView zoomScale="90" zoomScaleNormal="90" zoomScalePageLayoutView="125" workbookViewId="0">
      <pane xSplit="2" ySplit="11" topLeftCell="H12" activePane="bottomRight" state="frozen"/>
      <selection pane="topRight" activeCell="C1" sqref="C1"/>
      <selection pane="bottomLeft" activeCell="A12" sqref="A12"/>
      <selection pane="bottomRight" activeCell="K12" sqref="K12:K87"/>
    </sheetView>
  </sheetViews>
  <sheetFormatPr baseColWidth="10" defaultColWidth="10.85546875" defaultRowHeight="12.75" x14ac:dyDescent="0.2"/>
  <cols>
    <col min="1" max="1" width="7.42578125" style="172" bestFit="1" customWidth="1"/>
    <col min="2" max="2" width="83" style="173" customWidth="1"/>
    <col min="3" max="3" width="14.140625" style="174" customWidth="1"/>
    <col min="4" max="4" width="16.140625" style="174" customWidth="1"/>
    <col min="5" max="5" width="65.28515625" style="175" customWidth="1"/>
    <col min="6" max="6" width="15.7109375" style="178" hidden="1" customWidth="1"/>
    <col min="7" max="7" width="20.28515625" style="178" hidden="1" customWidth="1"/>
    <col min="8" max="13" width="14.85546875" style="215" bestFit="1" customWidth="1"/>
    <col min="14" max="16384" width="10.85546875" style="137"/>
  </cols>
  <sheetData>
    <row r="1" spans="1:13" x14ac:dyDescent="0.2">
      <c r="B1" s="213" t="s">
        <v>191</v>
      </c>
    </row>
    <row r="2" spans="1:13" x14ac:dyDescent="0.2">
      <c r="B2" s="213" t="s">
        <v>192</v>
      </c>
    </row>
    <row r="3" spans="1:13" x14ac:dyDescent="0.2">
      <c r="B3" s="213" t="s">
        <v>194</v>
      </c>
    </row>
    <row r="4" spans="1:13" x14ac:dyDescent="0.2">
      <c r="B4" s="214" t="s">
        <v>161</v>
      </c>
    </row>
    <row r="5" spans="1:13" x14ac:dyDescent="0.2">
      <c r="B5" s="213" t="s">
        <v>160</v>
      </c>
    </row>
    <row r="6" spans="1:13" x14ac:dyDescent="0.2">
      <c r="B6" s="213" t="s">
        <v>193</v>
      </c>
    </row>
    <row r="8" spans="1:13" ht="15" customHeight="1" x14ac:dyDescent="0.2">
      <c r="A8" s="544" t="s">
        <v>102</v>
      </c>
      <c r="B8" s="544"/>
      <c r="C8" s="544"/>
      <c r="D8" s="544"/>
      <c r="E8" s="544"/>
      <c r="F8" s="544"/>
      <c r="G8" s="544"/>
    </row>
    <row r="9" spans="1:13" ht="25.5" x14ac:dyDescent="0.2">
      <c r="A9" s="545" t="s">
        <v>62</v>
      </c>
      <c r="B9" s="546"/>
      <c r="C9" s="138" t="s">
        <v>63</v>
      </c>
      <c r="D9" s="139" t="s">
        <v>64</v>
      </c>
      <c r="E9" s="185" t="s">
        <v>65</v>
      </c>
      <c r="F9" s="179" t="s">
        <v>101</v>
      </c>
      <c r="G9" s="179" t="s">
        <v>61</v>
      </c>
    </row>
    <row r="10" spans="1:13" x14ac:dyDescent="0.2">
      <c r="A10" s="141"/>
      <c r="B10" s="142" t="s">
        <v>117</v>
      </c>
      <c r="C10" s="138"/>
      <c r="D10" s="139"/>
      <c r="E10" s="185"/>
      <c r="F10" s="179"/>
      <c r="G10" s="179"/>
      <c r="H10" s="218" t="s">
        <v>218</v>
      </c>
      <c r="I10" s="218" t="s">
        <v>219</v>
      </c>
      <c r="J10" s="218" t="s">
        <v>232</v>
      </c>
      <c r="K10" s="218" t="s">
        <v>233</v>
      </c>
      <c r="L10" s="218"/>
      <c r="M10" s="218"/>
    </row>
    <row r="11" spans="1:13" ht="40.5" customHeight="1" x14ac:dyDescent="0.2">
      <c r="A11" s="143" t="s">
        <v>129</v>
      </c>
      <c r="B11" s="142" t="s">
        <v>170</v>
      </c>
      <c r="C11" s="144"/>
      <c r="D11" s="142"/>
      <c r="E11" s="145"/>
      <c r="F11" s="180"/>
      <c r="G11" s="180"/>
      <c r="H11" s="216" t="s">
        <v>101</v>
      </c>
      <c r="I11" s="216" t="s">
        <v>101</v>
      </c>
      <c r="J11" s="216" t="s">
        <v>101</v>
      </c>
      <c r="K11" s="216" t="s">
        <v>101</v>
      </c>
      <c r="L11" s="219" t="s">
        <v>220</v>
      </c>
      <c r="M11" s="219" t="s">
        <v>225</v>
      </c>
    </row>
    <row r="12" spans="1:13" ht="91.5" customHeight="1" x14ac:dyDescent="0.2">
      <c r="A12" s="146" t="s">
        <v>171</v>
      </c>
      <c r="B12" s="147" t="s">
        <v>127</v>
      </c>
      <c r="C12" s="148">
        <v>3</v>
      </c>
      <c r="D12" s="148" t="s">
        <v>111</v>
      </c>
      <c r="E12" s="149" t="s">
        <v>131</v>
      </c>
      <c r="F12" s="181">
        <v>29700000</v>
      </c>
      <c r="G12" s="181">
        <f>+F12*C12</f>
        <v>89100000</v>
      </c>
      <c r="H12" s="217">
        <f>+'C01_INICIAL'!F12</f>
        <v>29700000</v>
      </c>
      <c r="I12" s="217">
        <f>+'CO2'!F12</f>
        <v>143260000</v>
      </c>
      <c r="J12" s="217">
        <f>+'CO3'!F12</f>
        <v>34800000</v>
      </c>
      <c r="K12" s="217">
        <f>+'CO4'!F12</f>
        <v>14000000</v>
      </c>
      <c r="L12" s="217">
        <f>+AVERAGE(H12:K12)</f>
        <v>55440000</v>
      </c>
      <c r="M12" s="217">
        <f t="shared" ref="M12:M43" si="0">+L12*C12</f>
        <v>166320000</v>
      </c>
    </row>
    <row r="13" spans="1:13" ht="99" customHeight="1" x14ac:dyDescent="0.2">
      <c r="A13" s="150" t="s">
        <v>171</v>
      </c>
      <c r="B13" s="147" t="s">
        <v>128</v>
      </c>
      <c r="C13" s="148">
        <v>2</v>
      </c>
      <c r="D13" s="148" t="s">
        <v>111</v>
      </c>
      <c r="E13" s="149" t="s">
        <v>132</v>
      </c>
      <c r="F13" s="181">
        <v>29400000</v>
      </c>
      <c r="G13" s="181">
        <f t="shared" ref="G13:G76" si="1">+F13*C13</f>
        <v>58800000</v>
      </c>
      <c r="H13" s="217">
        <f>+'C01_INICIAL'!F13</f>
        <v>29400000</v>
      </c>
      <c r="I13" s="217">
        <f>+'CO2'!F13</f>
        <v>120640000</v>
      </c>
      <c r="J13" s="217">
        <f>+'CO3'!F13</f>
        <v>31320000</v>
      </c>
      <c r="K13" s="217">
        <f>+'CO4'!F13</f>
        <v>12600000</v>
      </c>
      <c r="L13" s="217">
        <f t="shared" ref="L13:L76" si="2">+AVERAGE(H13:K13)</f>
        <v>48490000</v>
      </c>
      <c r="M13" s="217">
        <f t="shared" si="0"/>
        <v>96980000</v>
      </c>
    </row>
    <row r="14" spans="1:13" ht="81.75" customHeight="1" x14ac:dyDescent="0.2">
      <c r="A14" s="150" t="s">
        <v>171</v>
      </c>
      <c r="B14" s="147" t="s">
        <v>186</v>
      </c>
      <c r="C14" s="148">
        <v>5</v>
      </c>
      <c r="D14" s="148" t="s">
        <v>110</v>
      </c>
      <c r="E14" s="149" t="s">
        <v>136</v>
      </c>
      <c r="F14" s="181">
        <v>7300000</v>
      </c>
      <c r="G14" s="181">
        <f t="shared" si="1"/>
        <v>36500000</v>
      </c>
      <c r="H14" s="217">
        <f>+'C01_INICIAL'!F14</f>
        <v>7300000</v>
      </c>
      <c r="I14" s="217">
        <f>+'CO2'!F14</f>
        <v>180960000</v>
      </c>
      <c r="J14" s="217">
        <f>+'CO3'!F14</f>
        <v>7888000</v>
      </c>
      <c r="K14" s="217">
        <f>+'CO4'!F14</f>
        <v>15400000</v>
      </c>
      <c r="L14" s="217">
        <f t="shared" si="2"/>
        <v>52887000</v>
      </c>
      <c r="M14" s="217">
        <f t="shared" si="0"/>
        <v>264435000</v>
      </c>
    </row>
    <row r="15" spans="1:13" ht="162.75" customHeight="1" x14ac:dyDescent="0.2">
      <c r="A15" s="146" t="s">
        <v>171</v>
      </c>
      <c r="B15" s="147" t="s">
        <v>187</v>
      </c>
      <c r="C15" s="148">
        <v>5</v>
      </c>
      <c r="D15" s="148" t="s">
        <v>110</v>
      </c>
      <c r="E15" s="149" t="s">
        <v>112</v>
      </c>
      <c r="F15" s="181">
        <v>5400000</v>
      </c>
      <c r="G15" s="181">
        <f t="shared" si="1"/>
        <v>27000000</v>
      </c>
      <c r="H15" s="217">
        <f>+'C01_INICIAL'!F15</f>
        <v>5400000</v>
      </c>
      <c r="I15" s="217">
        <f>+'CO2'!F15</f>
        <v>226200000</v>
      </c>
      <c r="J15" s="217">
        <f>+'CO3'!F15</f>
        <v>9280000</v>
      </c>
      <c r="K15" s="217">
        <f>+'CO4'!F15</f>
        <v>18200000</v>
      </c>
      <c r="L15" s="217">
        <f t="shared" si="2"/>
        <v>64770000</v>
      </c>
      <c r="M15" s="217">
        <f t="shared" si="0"/>
        <v>323850000</v>
      </c>
    </row>
    <row r="16" spans="1:13" ht="25.5" x14ac:dyDescent="0.2">
      <c r="A16" s="146" t="s">
        <v>172</v>
      </c>
      <c r="B16" s="147" t="s">
        <v>113</v>
      </c>
      <c r="C16" s="148">
        <v>6</v>
      </c>
      <c r="D16" s="148" t="s">
        <v>114</v>
      </c>
      <c r="E16" s="149" t="s">
        <v>115</v>
      </c>
      <c r="F16" s="181">
        <v>21000000</v>
      </c>
      <c r="G16" s="181">
        <f t="shared" si="1"/>
        <v>126000000</v>
      </c>
      <c r="H16" s="217">
        <f>+'C01_INICIAL'!F16</f>
        <v>21000000</v>
      </c>
      <c r="I16" s="217">
        <f>+'CO2'!F16</f>
        <v>64693200</v>
      </c>
      <c r="J16" s="217">
        <f>+'CO3'!F16</f>
        <v>87000000</v>
      </c>
      <c r="K16" s="217">
        <f>+'CO4'!F16</f>
        <v>23800000</v>
      </c>
      <c r="L16" s="217">
        <f t="shared" si="2"/>
        <v>49123300</v>
      </c>
      <c r="M16" s="217">
        <f t="shared" si="0"/>
        <v>294739800</v>
      </c>
    </row>
    <row r="17" spans="1:13" ht="43.5" customHeight="1" x14ac:dyDescent="0.2">
      <c r="A17" s="146" t="s">
        <v>173</v>
      </c>
      <c r="B17" s="147" t="s">
        <v>107</v>
      </c>
      <c r="C17" s="151">
        <v>16</v>
      </c>
      <c r="D17" s="148" t="s">
        <v>123</v>
      </c>
      <c r="E17" s="149" t="s">
        <v>116</v>
      </c>
      <c r="F17" s="181">
        <v>14500000</v>
      </c>
      <c r="G17" s="181">
        <f t="shared" si="1"/>
        <v>232000000</v>
      </c>
      <c r="H17" s="217">
        <f>+'C01_INICIAL'!F17</f>
        <v>14500000</v>
      </c>
      <c r="I17" s="217">
        <f>+'CO2'!F17</f>
        <v>180000000</v>
      </c>
      <c r="J17" s="217">
        <f>+'CO3'!F17</f>
        <v>29000000</v>
      </c>
      <c r="K17" s="217">
        <f>+'CO4'!F17</f>
        <v>26600000</v>
      </c>
      <c r="L17" s="217">
        <f t="shared" si="2"/>
        <v>62525000</v>
      </c>
      <c r="M17" s="217">
        <f t="shared" si="0"/>
        <v>1000400000</v>
      </c>
    </row>
    <row r="18" spans="1:13" ht="285.75" customHeight="1" x14ac:dyDescent="0.2">
      <c r="A18" s="152" t="s">
        <v>174</v>
      </c>
      <c r="B18" s="147" t="s">
        <v>151</v>
      </c>
      <c r="C18" s="148">
        <v>2</v>
      </c>
      <c r="D18" s="148" t="s">
        <v>145</v>
      </c>
      <c r="E18" s="149" t="s">
        <v>152</v>
      </c>
      <c r="F18" s="181">
        <v>15400000</v>
      </c>
      <c r="G18" s="181">
        <f t="shared" si="1"/>
        <v>30800000</v>
      </c>
      <c r="H18" s="217">
        <f>+'C01_INICIAL'!F18</f>
        <v>15400000</v>
      </c>
      <c r="I18" s="217">
        <f>+'CO2'!F18</f>
        <v>250800000</v>
      </c>
      <c r="J18" s="217">
        <f>+'CO3'!F18</f>
        <v>17400000</v>
      </c>
      <c r="K18" s="217">
        <f>+'CO4'!F18</f>
        <v>4384800</v>
      </c>
      <c r="L18" s="217">
        <f t="shared" si="2"/>
        <v>71996200</v>
      </c>
      <c r="M18" s="217">
        <f t="shared" si="0"/>
        <v>143992400</v>
      </c>
    </row>
    <row r="19" spans="1:13" ht="270" customHeight="1" x14ac:dyDescent="0.2">
      <c r="A19" s="152">
        <v>2.4</v>
      </c>
      <c r="B19" s="147" t="s">
        <v>176</v>
      </c>
      <c r="C19" s="148">
        <v>2</v>
      </c>
      <c r="D19" s="148" t="s">
        <v>145</v>
      </c>
      <c r="E19" s="149" t="s">
        <v>175</v>
      </c>
      <c r="F19" s="181">
        <v>21000000</v>
      </c>
      <c r="G19" s="181">
        <f t="shared" si="1"/>
        <v>42000000</v>
      </c>
      <c r="H19" s="217">
        <f>+'C01_INICIAL'!F19</f>
        <v>21000000</v>
      </c>
      <c r="I19" s="217">
        <f>+'CO2'!F19</f>
        <v>300800000</v>
      </c>
      <c r="J19" s="217">
        <f>+'CO3'!F19</f>
        <v>14160000</v>
      </c>
      <c r="K19" s="217">
        <f>+'CO4'!F19</f>
        <v>8769600</v>
      </c>
      <c r="L19" s="217">
        <f t="shared" si="2"/>
        <v>86182400</v>
      </c>
      <c r="M19" s="217">
        <f t="shared" si="0"/>
        <v>172364800</v>
      </c>
    </row>
    <row r="20" spans="1:13" ht="305.25" customHeight="1" thickBot="1" x14ac:dyDescent="0.25">
      <c r="A20" s="152">
        <v>2.4</v>
      </c>
      <c r="B20" s="147" t="s">
        <v>153</v>
      </c>
      <c r="C20" s="148">
        <v>2</v>
      </c>
      <c r="D20" s="148" t="s">
        <v>145</v>
      </c>
      <c r="E20" s="149" t="s">
        <v>154</v>
      </c>
      <c r="F20" s="182">
        <v>19000000</v>
      </c>
      <c r="G20" s="181">
        <f t="shared" si="1"/>
        <v>38000000</v>
      </c>
      <c r="H20" s="217">
        <f>+'C01_INICIAL'!F20</f>
        <v>19000000</v>
      </c>
      <c r="I20" s="217">
        <f>+'CO2'!F20</f>
        <v>150800000</v>
      </c>
      <c r="J20" s="217">
        <f>+'CO3'!F20</f>
        <v>23200000</v>
      </c>
      <c r="K20" s="217">
        <f>+'CO4'!F20</f>
        <v>8769600</v>
      </c>
      <c r="L20" s="217">
        <f t="shared" si="2"/>
        <v>50442400</v>
      </c>
      <c r="M20" s="217">
        <f t="shared" si="0"/>
        <v>100884800</v>
      </c>
    </row>
    <row r="21" spans="1:13" ht="55.5" customHeight="1" x14ac:dyDescent="0.2">
      <c r="A21" s="152">
        <v>2</v>
      </c>
      <c r="B21" s="147" t="s">
        <v>144</v>
      </c>
      <c r="C21" s="147">
        <v>10</v>
      </c>
      <c r="D21" s="147" t="s">
        <v>145</v>
      </c>
      <c r="E21" s="147" t="s">
        <v>146</v>
      </c>
      <c r="F21" s="183">
        <v>5000000</v>
      </c>
      <c r="G21" s="181">
        <f t="shared" si="1"/>
        <v>50000000</v>
      </c>
      <c r="H21" s="217">
        <f>+'C01_INICIAL'!F21</f>
        <v>5000000</v>
      </c>
      <c r="I21" s="217">
        <f>+'CO2'!F21</f>
        <v>603200</v>
      </c>
      <c r="J21" s="217">
        <f>+'CO3'!F21</f>
        <v>348000</v>
      </c>
      <c r="K21" s="217">
        <f>+'CO4'!F21</f>
        <v>252000</v>
      </c>
      <c r="L21" s="217">
        <f t="shared" si="2"/>
        <v>1550800</v>
      </c>
      <c r="M21" s="217">
        <f t="shared" si="0"/>
        <v>15508000</v>
      </c>
    </row>
    <row r="22" spans="1:13" ht="216.75" customHeight="1" x14ac:dyDescent="0.2">
      <c r="A22" s="152">
        <v>2.1</v>
      </c>
      <c r="B22" s="147" t="s">
        <v>189</v>
      </c>
      <c r="C22" s="147">
        <v>48</v>
      </c>
      <c r="D22" s="147" t="s">
        <v>145</v>
      </c>
      <c r="E22" s="147" t="s">
        <v>147</v>
      </c>
      <c r="F22" s="184">
        <v>3500000</v>
      </c>
      <c r="G22" s="181">
        <f t="shared" si="1"/>
        <v>168000000</v>
      </c>
      <c r="H22" s="217">
        <f>+'C01_INICIAL'!F22</f>
        <v>3500000</v>
      </c>
      <c r="I22" s="217">
        <f>+'CO2'!F22</f>
        <v>1885000</v>
      </c>
      <c r="J22" s="217">
        <f>+'CO3'!F22</f>
        <v>1160000</v>
      </c>
      <c r="K22" s="217">
        <f>+'CO4'!F22</f>
        <v>150000</v>
      </c>
      <c r="L22" s="217">
        <f t="shared" si="2"/>
        <v>1673750</v>
      </c>
      <c r="M22" s="217">
        <f t="shared" si="0"/>
        <v>80340000</v>
      </c>
    </row>
    <row r="23" spans="1:13" ht="68.25" customHeight="1" x14ac:dyDescent="0.2">
      <c r="A23" s="152">
        <v>2.1</v>
      </c>
      <c r="B23" s="147" t="s">
        <v>148</v>
      </c>
      <c r="C23" s="147">
        <v>8</v>
      </c>
      <c r="D23" s="147" t="s">
        <v>145</v>
      </c>
      <c r="E23" s="147" t="s">
        <v>66</v>
      </c>
      <c r="F23" s="181">
        <v>1200000</v>
      </c>
      <c r="G23" s="181">
        <f t="shared" si="1"/>
        <v>9600000</v>
      </c>
      <c r="H23" s="217">
        <f>+'C01_INICIAL'!F23</f>
        <v>1200000</v>
      </c>
      <c r="I23" s="217">
        <f>+'CO2'!F23</f>
        <v>1017900</v>
      </c>
      <c r="J23" s="217">
        <f>+'CO3'!F23</f>
        <v>8921000</v>
      </c>
      <c r="K23" s="217">
        <f>+'CO4'!F23</f>
        <v>986000</v>
      </c>
      <c r="L23" s="217">
        <f t="shared" si="2"/>
        <v>3031225</v>
      </c>
      <c r="M23" s="217">
        <f t="shared" si="0"/>
        <v>24249800</v>
      </c>
    </row>
    <row r="24" spans="1:13" x14ac:dyDescent="0.2">
      <c r="A24" s="547">
        <v>2.1</v>
      </c>
      <c r="B24" s="550" t="s">
        <v>67</v>
      </c>
      <c r="C24" s="153">
        <v>8</v>
      </c>
      <c r="D24" s="154" t="s">
        <v>145</v>
      </c>
      <c r="E24" s="155" t="s">
        <v>68</v>
      </c>
      <c r="F24" s="181">
        <v>280000</v>
      </c>
      <c r="G24" s="181">
        <f t="shared" si="1"/>
        <v>2240000</v>
      </c>
      <c r="H24" s="217">
        <f>+'C01_INICIAL'!F24</f>
        <v>280000</v>
      </c>
      <c r="I24" s="217">
        <f>+'CO2'!F24</f>
        <v>244296</v>
      </c>
      <c r="J24" s="217">
        <f>+'CO3'!F24</f>
        <v>250000</v>
      </c>
      <c r="K24" s="217">
        <f>+'CO4'!F24</f>
        <v>30000</v>
      </c>
      <c r="L24" s="217">
        <f t="shared" si="2"/>
        <v>201074</v>
      </c>
      <c r="M24" s="217">
        <f t="shared" si="0"/>
        <v>1608592</v>
      </c>
    </row>
    <row r="25" spans="1:13" x14ac:dyDescent="0.2">
      <c r="A25" s="548"/>
      <c r="B25" s="550"/>
      <c r="C25" s="153">
        <v>8</v>
      </c>
      <c r="D25" s="154" t="s">
        <v>145</v>
      </c>
      <c r="E25" s="155" t="s">
        <v>69</v>
      </c>
      <c r="F25" s="181">
        <v>280000</v>
      </c>
      <c r="G25" s="181">
        <f t="shared" si="1"/>
        <v>2240000</v>
      </c>
      <c r="H25" s="217">
        <f>+'C01_INICIAL'!F25</f>
        <v>280000</v>
      </c>
      <c r="I25" s="217">
        <f>+'CO2'!F25</f>
        <v>203580</v>
      </c>
      <c r="J25" s="217">
        <f>+'CO3'!F25</f>
        <v>250000</v>
      </c>
      <c r="K25" s="217">
        <f>+'CO4'!F25</f>
        <v>25000</v>
      </c>
      <c r="L25" s="217">
        <f t="shared" si="2"/>
        <v>189645</v>
      </c>
      <c r="M25" s="217">
        <f t="shared" si="0"/>
        <v>1517160</v>
      </c>
    </row>
    <row r="26" spans="1:13" x14ac:dyDescent="0.2">
      <c r="A26" s="549"/>
      <c r="B26" s="550"/>
      <c r="C26" s="153">
        <v>8</v>
      </c>
      <c r="D26" s="154" t="s">
        <v>145</v>
      </c>
      <c r="E26" s="155" t="s">
        <v>70</v>
      </c>
      <c r="F26" s="181">
        <v>160000</v>
      </c>
      <c r="G26" s="181">
        <f t="shared" si="1"/>
        <v>1280000</v>
      </c>
      <c r="H26" s="217">
        <f>+'C01_INICIAL'!F26</f>
        <v>160000</v>
      </c>
      <c r="I26" s="217">
        <f>+'CO2'!F26</f>
        <v>203580</v>
      </c>
      <c r="J26" s="217">
        <f>+'CO3'!F26</f>
        <v>250000</v>
      </c>
      <c r="K26" s="217">
        <f>+'CO4'!F26</f>
        <v>30000</v>
      </c>
      <c r="L26" s="217">
        <f t="shared" si="2"/>
        <v>160895</v>
      </c>
      <c r="M26" s="217">
        <f t="shared" si="0"/>
        <v>1287160</v>
      </c>
    </row>
    <row r="27" spans="1:13" x14ac:dyDescent="0.2">
      <c r="A27" s="152">
        <v>2.1</v>
      </c>
      <c r="B27" s="156" t="s">
        <v>71</v>
      </c>
      <c r="C27" s="154">
        <v>8</v>
      </c>
      <c r="D27" s="154" t="s">
        <v>145</v>
      </c>
      <c r="E27" s="156" t="s">
        <v>72</v>
      </c>
      <c r="F27" s="181">
        <v>13200000</v>
      </c>
      <c r="G27" s="181">
        <f t="shared" si="1"/>
        <v>105600000</v>
      </c>
      <c r="H27" s="217">
        <f>+'C01_INICIAL'!F27</f>
        <v>13200000</v>
      </c>
      <c r="I27" s="217">
        <f>+'CO2'!F27</f>
        <v>15080000</v>
      </c>
      <c r="J27" s="217">
        <f>+'CO3'!F27</f>
        <v>17325000</v>
      </c>
      <c r="K27" s="217">
        <f>+'CO4'!F27</f>
        <v>950000</v>
      </c>
      <c r="L27" s="217">
        <f t="shared" si="2"/>
        <v>11638750</v>
      </c>
      <c r="M27" s="217">
        <f t="shared" si="0"/>
        <v>93110000</v>
      </c>
    </row>
    <row r="28" spans="1:13" x14ac:dyDescent="0.2">
      <c r="A28" s="152">
        <v>2.1</v>
      </c>
      <c r="B28" s="156" t="s">
        <v>71</v>
      </c>
      <c r="C28" s="154">
        <v>8</v>
      </c>
      <c r="D28" s="154" t="s">
        <v>145</v>
      </c>
      <c r="E28" s="156" t="s">
        <v>72</v>
      </c>
      <c r="F28" s="181">
        <v>13200000</v>
      </c>
      <c r="G28" s="181">
        <f t="shared" si="1"/>
        <v>105600000</v>
      </c>
      <c r="H28" s="217">
        <f>+'C01_INICIAL'!F28</f>
        <v>13200000</v>
      </c>
      <c r="I28" s="217">
        <f>+'CO2'!F28</f>
        <v>15080000</v>
      </c>
      <c r="J28" s="217">
        <f>+'CO3'!F28</f>
        <v>17325000</v>
      </c>
      <c r="K28" s="217">
        <f>+'CO4'!F28</f>
        <v>950000</v>
      </c>
      <c r="L28" s="217">
        <f t="shared" si="2"/>
        <v>11638750</v>
      </c>
      <c r="M28" s="217">
        <f t="shared" si="0"/>
        <v>93110000</v>
      </c>
    </row>
    <row r="29" spans="1:13" x14ac:dyDescent="0.2">
      <c r="A29" s="152">
        <v>2.1</v>
      </c>
      <c r="B29" s="157" t="s">
        <v>73</v>
      </c>
      <c r="C29" s="151">
        <v>8</v>
      </c>
      <c r="D29" s="151" t="s">
        <v>75</v>
      </c>
      <c r="E29" s="162" t="s">
        <v>74</v>
      </c>
      <c r="F29" s="181">
        <v>700000</v>
      </c>
      <c r="G29" s="181">
        <f t="shared" si="1"/>
        <v>5600000</v>
      </c>
      <c r="H29" s="217">
        <f>+'C01_INICIAL'!F29</f>
        <v>700000</v>
      </c>
      <c r="I29" s="217">
        <f>+'CO2'!F29</f>
        <v>712530</v>
      </c>
      <c r="J29" s="217">
        <f>+'CO3'!F29</f>
        <v>535500</v>
      </c>
      <c r="K29" s="217">
        <f>+'CO4'!F29</f>
        <v>105000</v>
      </c>
      <c r="L29" s="217">
        <f t="shared" si="2"/>
        <v>513257.5</v>
      </c>
      <c r="M29" s="217">
        <f t="shared" si="0"/>
        <v>4106060</v>
      </c>
    </row>
    <row r="30" spans="1:13" x14ac:dyDescent="0.2">
      <c r="A30" s="143"/>
      <c r="B30" s="142" t="s">
        <v>177</v>
      </c>
      <c r="C30" s="144"/>
      <c r="D30" s="142"/>
      <c r="E30" s="145"/>
      <c r="F30" s="180"/>
      <c r="G30" s="180"/>
      <c r="H30" s="217">
        <f>+'C01_INICIAL'!F30</f>
        <v>0</v>
      </c>
      <c r="I30" s="217">
        <f>+'CO2'!F30</f>
        <v>0</v>
      </c>
      <c r="J30" s="217">
        <f>+'CO3'!F30</f>
        <v>0</v>
      </c>
      <c r="K30" s="217">
        <f>+'CO4'!F30</f>
        <v>0</v>
      </c>
      <c r="L30" s="217">
        <f t="shared" si="2"/>
        <v>0</v>
      </c>
      <c r="M30" s="217">
        <f t="shared" si="0"/>
        <v>0</v>
      </c>
    </row>
    <row r="31" spans="1:13" x14ac:dyDescent="0.2">
      <c r="A31" s="158">
        <v>1</v>
      </c>
      <c r="B31" s="156" t="s">
        <v>78</v>
      </c>
      <c r="C31" s="151">
        <v>1</v>
      </c>
      <c r="D31" s="159" t="s">
        <v>77</v>
      </c>
      <c r="E31" s="162"/>
      <c r="F31" s="181">
        <v>650000</v>
      </c>
      <c r="G31" s="181">
        <f t="shared" si="1"/>
        <v>650000</v>
      </c>
      <c r="H31" s="217">
        <f>+'C01_INICIAL'!F31</f>
        <v>650000</v>
      </c>
      <c r="I31" s="217">
        <f>+'CO2'!F31</f>
        <v>1000000</v>
      </c>
      <c r="J31" s="217">
        <f>+'CO3'!F31</f>
        <v>796700</v>
      </c>
      <c r="K31" s="217">
        <f>+'CO4'!F31</f>
        <v>65650</v>
      </c>
      <c r="L31" s="217">
        <f t="shared" si="2"/>
        <v>628087.5</v>
      </c>
      <c r="M31" s="217">
        <f t="shared" si="0"/>
        <v>628087.5</v>
      </c>
    </row>
    <row r="32" spans="1:13" x14ac:dyDescent="0.2">
      <c r="A32" s="158">
        <f t="shared" ref="A32:A67" si="3">+A31+1</f>
        <v>2</v>
      </c>
      <c r="B32" s="156" t="s">
        <v>79</v>
      </c>
      <c r="C32" s="160">
        <v>30000</v>
      </c>
      <c r="D32" s="159" t="s">
        <v>77</v>
      </c>
      <c r="E32" s="162"/>
      <c r="F32" s="181">
        <v>1300</v>
      </c>
      <c r="G32" s="181">
        <f>+F32*C32</f>
        <v>39000000</v>
      </c>
      <c r="H32" s="217">
        <f>+'C01_INICIAL'!F32</f>
        <v>1300</v>
      </c>
      <c r="I32" s="217">
        <f>+'CO2'!F32</f>
        <v>500</v>
      </c>
      <c r="J32" s="217">
        <f>+'CO3'!F32</f>
        <v>134.6</v>
      </c>
      <c r="K32" s="217">
        <f>+'CO4'!F32</f>
        <v>137</v>
      </c>
      <c r="L32" s="217">
        <f t="shared" si="2"/>
        <v>517.9</v>
      </c>
      <c r="M32" s="217">
        <f t="shared" si="0"/>
        <v>15537000</v>
      </c>
    </row>
    <row r="33" spans="1:13" x14ac:dyDescent="0.2">
      <c r="A33" s="158">
        <f t="shared" si="3"/>
        <v>3</v>
      </c>
      <c r="B33" s="156" t="s">
        <v>80</v>
      </c>
      <c r="C33" s="151">
        <v>1</v>
      </c>
      <c r="D33" s="159" t="s">
        <v>77</v>
      </c>
      <c r="E33" s="162"/>
      <c r="F33" s="181">
        <v>2100000</v>
      </c>
      <c r="G33" s="181">
        <f t="shared" si="1"/>
        <v>2100000</v>
      </c>
      <c r="H33" s="217">
        <f>+'C01_INICIAL'!F33</f>
        <v>2100000</v>
      </c>
      <c r="I33" s="217">
        <f>+'CO2'!F33</f>
        <v>3137041.7812455939</v>
      </c>
      <c r="J33" s="217">
        <f>+'CO3'!F33</f>
        <v>1849483</v>
      </c>
      <c r="K33" s="217">
        <f>+'CO4'!F33</f>
        <v>814000</v>
      </c>
      <c r="L33" s="217">
        <f t="shared" si="2"/>
        <v>1975131.1953113985</v>
      </c>
      <c r="M33" s="217">
        <f t="shared" si="0"/>
        <v>1975131.1953113985</v>
      </c>
    </row>
    <row r="34" spans="1:13" x14ac:dyDescent="0.2">
      <c r="A34" s="158">
        <f t="shared" si="3"/>
        <v>4</v>
      </c>
      <c r="B34" s="156" t="s">
        <v>81</v>
      </c>
      <c r="C34" s="151">
        <v>2</v>
      </c>
      <c r="D34" s="159" t="s">
        <v>77</v>
      </c>
      <c r="E34" s="162"/>
      <c r="F34" s="181">
        <v>1500000</v>
      </c>
      <c r="G34" s="181">
        <f t="shared" si="1"/>
        <v>3000000</v>
      </c>
      <c r="H34" s="217">
        <f>+'C01_INICIAL'!F34</f>
        <v>1500000</v>
      </c>
      <c r="I34" s="217">
        <f>+'CO2'!F34</f>
        <v>2100080.58801674</v>
      </c>
      <c r="J34" s="217">
        <f>+'CO3'!F34</f>
        <v>1223504</v>
      </c>
      <c r="K34" s="217">
        <f>+'CO4'!F34</f>
        <v>570500</v>
      </c>
      <c r="L34" s="217">
        <f t="shared" si="2"/>
        <v>1348521.147004185</v>
      </c>
      <c r="M34" s="217">
        <f t="shared" si="0"/>
        <v>2697042.29400837</v>
      </c>
    </row>
    <row r="35" spans="1:13" x14ac:dyDescent="0.2">
      <c r="A35" s="158">
        <f t="shared" si="3"/>
        <v>5</v>
      </c>
      <c r="B35" s="156" t="s">
        <v>82</v>
      </c>
      <c r="C35" s="151">
        <v>4</v>
      </c>
      <c r="D35" s="159" t="s">
        <v>77</v>
      </c>
      <c r="E35" s="162"/>
      <c r="F35" s="181">
        <v>1400000</v>
      </c>
      <c r="G35" s="181">
        <f t="shared" si="1"/>
        <v>5600000</v>
      </c>
      <c r="H35" s="217">
        <f>+'C01_INICIAL'!F35</f>
        <v>1400000</v>
      </c>
      <c r="I35" s="217">
        <f>+'CO2'!F35</f>
        <v>1431026.5575122754</v>
      </c>
      <c r="J35" s="217">
        <f>+'CO3'!F35</f>
        <v>910514</v>
      </c>
      <c r="K35" s="217">
        <f>+'CO4'!F35</f>
        <v>360000</v>
      </c>
      <c r="L35" s="217">
        <f t="shared" si="2"/>
        <v>1025385.1393780689</v>
      </c>
      <c r="M35" s="217">
        <f t="shared" si="0"/>
        <v>4101540.5575122754</v>
      </c>
    </row>
    <row r="36" spans="1:13" x14ac:dyDescent="0.2">
      <c r="A36" s="158">
        <f t="shared" si="3"/>
        <v>6</v>
      </c>
      <c r="B36" s="156" t="s">
        <v>137</v>
      </c>
      <c r="C36" s="151">
        <v>4</v>
      </c>
      <c r="D36" s="159" t="s">
        <v>77</v>
      </c>
      <c r="E36" s="162"/>
      <c r="F36" s="181">
        <v>600000</v>
      </c>
      <c r="G36" s="181">
        <f t="shared" si="1"/>
        <v>2400000</v>
      </c>
      <c r="H36" s="217">
        <f>+'C01_INICIAL'!F36</f>
        <v>600000</v>
      </c>
      <c r="I36" s="217">
        <f>+'CO2'!F36</f>
        <v>1805271.6337556478</v>
      </c>
      <c r="J36" s="217">
        <f>+'CO3'!F36</f>
        <v>1327835</v>
      </c>
      <c r="K36" s="217">
        <f>+'CO4'!F36</f>
        <v>328900</v>
      </c>
      <c r="L36" s="217">
        <f t="shared" si="2"/>
        <v>1015501.6584389119</v>
      </c>
      <c r="M36" s="217">
        <f t="shared" si="0"/>
        <v>4062006.6337556476</v>
      </c>
    </row>
    <row r="37" spans="1:13" x14ac:dyDescent="0.2">
      <c r="A37" s="158">
        <f t="shared" si="3"/>
        <v>7</v>
      </c>
      <c r="B37" s="156" t="s">
        <v>138</v>
      </c>
      <c r="C37" s="160">
        <v>40000</v>
      </c>
      <c r="D37" s="159" t="s">
        <v>77</v>
      </c>
      <c r="E37" s="162"/>
      <c r="F37" s="184">
        <v>310</v>
      </c>
      <c r="G37" s="181">
        <f t="shared" si="1"/>
        <v>12400000</v>
      </c>
      <c r="H37" s="217">
        <f>+'C01_INICIAL'!F37</f>
        <v>310</v>
      </c>
      <c r="I37" s="217">
        <f>+'CO2'!F37</f>
        <v>500</v>
      </c>
      <c r="J37" s="217">
        <f>+'CO3'!F37</f>
        <v>169.36</v>
      </c>
      <c r="K37" s="217">
        <f>+'CO4'!F37</f>
        <v>218</v>
      </c>
      <c r="L37" s="217">
        <f t="shared" si="2"/>
        <v>299.34000000000003</v>
      </c>
      <c r="M37" s="217">
        <f t="shared" si="0"/>
        <v>11973600.000000002</v>
      </c>
    </row>
    <row r="38" spans="1:13" x14ac:dyDescent="0.2">
      <c r="A38" s="158">
        <f t="shared" si="3"/>
        <v>8</v>
      </c>
      <c r="B38" s="156" t="s">
        <v>139</v>
      </c>
      <c r="C38" s="151">
        <v>2</v>
      </c>
      <c r="D38" s="159" t="s">
        <v>77</v>
      </c>
      <c r="E38" s="162"/>
      <c r="F38" s="181">
        <v>900000</v>
      </c>
      <c r="G38" s="181">
        <f t="shared" si="1"/>
        <v>1800000</v>
      </c>
      <c r="H38" s="217">
        <f>+'C01_INICIAL'!F38</f>
        <v>900000</v>
      </c>
      <c r="I38" s="217">
        <f>+'CO2'!F38</f>
        <v>2692549.5890610791</v>
      </c>
      <c r="J38" s="217">
        <f>+'CO3'!F38</f>
        <v>1991753</v>
      </c>
      <c r="K38" s="217">
        <f>+'CO4'!F38</f>
        <v>575900</v>
      </c>
      <c r="L38" s="217">
        <f t="shared" si="2"/>
        <v>1540050.6472652699</v>
      </c>
      <c r="M38" s="217">
        <f t="shared" si="0"/>
        <v>3080101.2945305398</v>
      </c>
    </row>
    <row r="39" spans="1:13" x14ac:dyDescent="0.2">
      <c r="A39" s="158">
        <f t="shared" si="3"/>
        <v>9</v>
      </c>
      <c r="B39" s="156" t="s">
        <v>140</v>
      </c>
      <c r="C39" s="160">
        <v>20000</v>
      </c>
      <c r="D39" s="159" t="s">
        <v>77</v>
      </c>
      <c r="E39" s="162"/>
      <c r="F39" s="184">
        <v>360</v>
      </c>
      <c r="G39" s="181">
        <f t="shared" si="1"/>
        <v>7200000</v>
      </c>
      <c r="H39" s="217">
        <f>+'C01_INICIAL'!F39</f>
        <v>360</v>
      </c>
      <c r="I39" s="217">
        <f>+'CO2'!F39</f>
        <v>416</v>
      </c>
      <c r="J39" s="217">
        <f>+'CO3'!F39</f>
        <v>563.76</v>
      </c>
      <c r="K39" s="217">
        <f>+'CO4'!F39</f>
        <v>267</v>
      </c>
      <c r="L39" s="217">
        <f t="shared" si="2"/>
        <v>401.69</v>
      </c>
      <c r="M39" s="217">
        <f t="shared" si="0"/>
        <v>8033800</v>
      </c>
    </row>
    <row r="40" spans="1:13" x14ac:dyDescent="0.2">
      <c r="A40" s="158">
        <f t="shared" si="3"/>
        <v>10</v>
      </c>
      <c r="B40" s="156" t="s">
        <v>141</v>
      </c>
      <c r="C40" s="151">
        <v>2</v>
      </c>
      <c r="D40" s="159" t="s">
        <v>77</v>
      </c>
      <c r="E40" s="162"/>
      <c r="F40" s="181">
        <v>1200000</v>
      </c>
      <c r="G40" s="181">
        <f t="shared" si="1"/>
        <v>2400000</v>
      </c>
      <c r="H40" s="217">
        <f>+'C01_INICIAL'!F40</f>
        <v>1200000</v>
      </c>
      <c r="I40" s="217">
        <f>+'CO2'!F40</f>
        <v>3197182.3993580537</v>
      </c>
      <c r="J40" s="217">
        <f>+'CO3'!F40</f>
        <v>2655671</v>
      </c>
      <c r="K40" s="217">
        <f>+'CO4'!F40</f>
        <v>850000</v>
      </c>
      <c r="L40" s="217">
        <f t="shared" si="2"/>
        <v>1975713.3498395134</v>
      </c>
      <c r="M40" s="217">
        <f t="shared" si="0"/>
        <v>3951426.6996790268</v>
      </c>
    </row>
    <row r="41" spans="1:13" x14ac:dyDescent="0.2">
      <c r="A41" s="158">
        <f t="shared" si="3"/>
        <v>11</v>
      </c>
      <c r="B41" s="156" t="s">
        <v>142</v>
      </c>
      <c r="C41" s="160">
        <v>20000</v>
      </c>
      <c r="D41" s="159" t="s">
        <v>77</v>
      </c>
      <c r="E41" s="162"/>
      <c r="F41" s="184">
        <v>360</v>
      </c>
      <c r="G41" s="181">
        <f t="shared" si="1"/>
        <v>7200000</v>
      </c>
      <c r="H41" s="217">
        <f>+'C01_INICIAL'!F41</f>
        <v>360</v>
      </c>
      <c r="I41" s="217">
        <f>+'CO2'!F41</f>
        <v>455</v>
      </c>
      <c r="J41" s="217">
        <f>+'CO3'!F41</f>
        <v>350.32</v>
      </c>
      <c r="K41" s="217">
        <f>+'CO4'!F41</f>
        <v>270</v>
      </c>
      <c r="L41" s="217">
        <f t="shared" si="2"/>
        <v>358.83</v>
      </c>
      <c r="M41" s="217">
        <f t="shared" si="0"/>
        <v>7176600</v>
      </c>
    </row>
    <row r="42" spans="1:13" x14ac:dyDescent="0.2">
      <c r="A42" s="158">
        <f t="shared" si="3"/>
        <v>12</v>
      </c>
      <c r="B42" s="156" t="s">
        <v>133</v>
      </c>
      <c r="C42" s="160">
        <v>5000</v>
      </c>
      <c r="D42" s="159" t="s">
        <v>77</v>
      </c>
      <c r="E42" s="162"/>
      <c r="F42" s="181">
        <v>3500</v>
      </c>
      <c r="G42" s="181">
        <f t="shared" si="1"/>
        <v>17500000</v>
      </c>
      <c r="H42" s="217">
        <f>+'C01_INICIAL'!F42</f>
        <v>3500</v>
      </c>
      <c r="I42" s="217">
        <f>+'CO2'!F42</f>
        <v>2340</v>
      </c>
      <c r="J42" s="217">
        <f>+'CO3'!F42</f>
        <v>1102</v>
      </c>
      <c r="K42" s="217">
        <f>+'CO4'!F42</f>
        <v>1160</v>
      </c>
      <c r="L42" s="217">
        <f t="shared" si="2"/>
        <v>2025.5</v>
      </c>
      <c r="M42" s="217">
        <f t="shared" si="0"/>
        <v>10127500</v>
      </c>
    </row>
    <row r="43" spans="1:13" ht="28.5" customHeight="1" x14ac:dyDescent="0.2">
      <c r="A43" s="158">
        <f t="shared" si="3"/>
        <v>13</v>
      </c>
      <c r="B43" s="156" t="s">
        <v>188</v>
      </c>
      <c r="C43" s="160">
        <v>5000</v>
      </c>
      <c r="D43" s="159" t="s">
        <v>77</v>
      </c>
      <c r="E43" s="162"/>
      <c r="F43" s="181">
        <v>1800</v>
      </c>
      <c r="G43" s="181">
        <f t="shared" si="1"/>
        <v>9000000</v>
      </c>
      <c r="H43" s="217">
        <f>+'C01_INICIAL'!F43</f>
        <v>1800</v>
      </c>
      <c r="I43" s="217">
        <f>+'CO2'!F43</f>
        <v>1950</v>
      </c>
      <c r="J43" s="217">
        <f>+'CO3'!F43</f>
        <v>643886</v>
      </c>
      <c r="K43" s="217">
        <f>+'CO4'!F43</f>
        <v>147500</v>
      </c>
      <c r="L43" s="217">
        <f t="shared" si="2"/>
        <v>198784</v>
      </c>
      <c r="M43" s="217">
        <f t="shared" si="0"/>
        <v>993920000</v>
      </c>
    </row>
    <row r="44" spans="1:13" x14ac:dyDescent="0.2">
      <c r="A44" s="158">
        <f t="shared" si="3"/>
        <v>14</v>
      </c>
      <c r="B44" s="156" t="s">
        <v>124</v>
      </c>
      <c r="C44" s="160">
        <v>1</v>
      </c>
      <c r="D44" s="159" t="s">
        <v>77</v>
      </c>
      <c r="E44" s="162"/>
      <c r="F44" s="181">
        <v>800000</v>
      </c>
      <c r="G44" s="181">
        <f t="shared" si="1"/>
        <v>800000</v>
      </c>
      <c r="H44" s="217">
        <f>+'C01_INICIAL'!F44</f>
        <v>800000</v>
      </c>
      <c r="I44" s="217">
        <f>+'CO2'!F44</f>
        <v>2044326.6724816032</v>
      </c>
      <c r="J44" s="217">
        <f>+'CO3'!F44</f>
        <v>368000</v>
      </c>
      <c r="K44" s="217">
        <f>+'CO4'!F44</f>
        <v>226900</v>
      </c>
      <c r="L44" s="217">
        <f t="shared" si="2"/>
        <v>859806.66812040075</v>
      </c>
      <c r="M44" s="217">
        <f t="shared" ref="M44:M75" si="4">+L44*C44</f>
        <v>859806.66812040075</v>
      </c>
    </row>
    <row r="45" spans="1:13" x14ac:dyDescent="0.2">
      <c r="A45" s="158">
        <f t="shared" si="3"/>
        <v>15</v>
      </c>
      <c r="B45" s="161" t="s">
        <v>125</v>
      </c>
      <c r="C45" s="160">
        <v>5000</v>
      </c>
      <c r="D45" s="159" t="s">
        <v>77</v>
      </c>
      <c r="E45" s="162"/>
      <c r="F45" s="181">
        <v>5400</v>
      </c>
      <c r="G45" s="181">
        <f t="shared" si="1"/>
        <v>27000000</v>
      </c>
      <c r="H45" s="217">
        <f>+'C01_INICIAL'!F45</f>
        <v>5400</v>
      </c>
      <c r="I45" s="217">
        <f>+'CO2'!F45</f>
        <v>6500</v>
      </c>
      <c r="J45" s="217">
        <f>+'CO3'!F45</f>
        <v>13200</v>
      </c>
      <c r="K45" s="217">
        <f>+'CO4'!F45</f>
        <v>12700</v>
      </c>
      <c r="L45" s="217">
        <f t="shared" si="2"/>
        <v>9450</v>
      </c>
      <c r="M45" s="217">
        <f t="shared" si="4"/>
        <v>47250000</v>
      </c>
    </row>
    <row r="46" spans="1:13" x14ac:dyDescent="0.2">
      <c r="A46" s="158">
        <f t="shared" si="3"/>
        <v>16</v>
      </c>
      <c r="B46" s="161" t="s">
        <v>126</v>
      </c>
      <c r="C46" s="151">
        <v>1</v>
      </c>
      <c r="D46" s="159" t="s">
        <v>77</v>
      </c>
      <c r="E46" s="162"/>
      <c r="F46" s="181">
        <v>775000</v>
      </c>
      <c r="G46" s="181">
        <f t="shared" si="1"/>
        <v>775000</v>
      </c>
      <c r="H46" s="217">
        <f>+'C01_INICIAL'!F46</f>
        <v>775000</v>
      </c>
      <c r="I46" s="217">
        <f>+'CO2'!F46</f>
        <v>895167.3280659311</v>
      </c>
      <c r="J46" s="217">
        <f>+'CO3'!F46</f>
        <v>5121648</v>
      </c>
      <c r="K46" s="217">
        <f>+'CO4'!F46</f>
        <v>415090</v>
      </c>
      <c r="L46" s="217">
        <f t="shared" si="2"/>
        <v>1801726.3320164827</v>
      </c>
      <c r="M46" s="217">
        <f t="shared" si="4"/>
        <v>1801726.3320164827</v>
      </c>
    </row>
    <row r="47" spans="1:13" x14ac:dyDescent="0.2">
      <c r="A47" s="158">
        <f t="shared" si="3"/>
        <v>17</v>
      </c>
      <c r="B47" s="161" t="s">
        <v>134</v>
      </c>
      <c r="C47" s="160">
        <v>5000</v>
      </c>
      <c r="D47" s="159" t="s">
        <v>77</v>
      </c>
      <c r="E47" s="162"/>
      <c r="F47" s="181">
        <v>4000</v>
      </c>
      <c r="G47" s="181">
        <f t="shared" si="1"/>
        <v>20000000</v>
      </c>
      <c r="H47" s="217">
        <f>+'C01_INICIAL'!F47</f>
        <v>4000</v>
      </c>
      <c r="I47" s="217">
        <f>+'CO2'!F47</f>
        <v>234</v>
      </c>
      <c r="J47" s="217">
        <f>+'CO3'!F47</f>
        <v>2062.5</v>
      </c>
      <c r="K47" s="217">
        <f>+'CO4'!F47</f>
        <v>11050</v>
      </c>
      <c r="L47" s="217">
        <f t="shared" si="2"/>
        <v>4336.625</v>
      </c>
      <c r="M47" s="217">
        <f t="shared" si="4"/>
        <v>21683125</v>
      </c>
    </row>
    <row r="48" spans="1:13" x14ac:dyDescent="0.2">
      <c r="A48" s="158">
        <f t="shared" si="3"/>
        <v>18</v>
      </c>
      <c r="B48" s="156" t="s">
        <v>83</v>
      </c>
      <c r="C48" s="151">
        <v>5</v>
      </c>
      <c r="D48" s="159" t="s">
        <v>77</v>
      </c>
      <c r="E48" s="162"/>
      <c r="F48" s="181">
        <v>650000</v>
      </c>
      <c r="G48" s="181">
        <f t="shared" si="1"/>
        <v>3250000</v>
      </c>
      <c r="H48" s="217">
        <f>+'C01_INICIAL'!F48</f>
        <v>650000</v>
      </c>
      <c r="I48" s="217">
        <f>+'CO2'!F48</f>
        <v>1198615.8499080529</v>
      </c>
      <c r="J48" s="217">
        <f>+'CO3'!F48</f>
        <v>466639</v>
      </c>
      <c r="K48" s="217">
        <f>+'CO4'!F48</f>
        <v>355000</v>
      </c>
      <c r="L48" s="217">
        <f t="shared" si="2"/>
        <v>667563.71247701324</v>
      </c>
      <c r="M48" s="217">
        <f t="shared" si="4"/>
        <v>3337818.5623850664</v>
      </c>
    </row>
    <row r="49" spans="1:13" ht="25.5" x14ac:dyDescent="0.2">
      <c r="A49" s="158">
        <f t="shared" si="3"/>
        <v>19</v>
      </c>
      <c r="B49" s="156" t="s">
        <v>135</v>
      </c>
      <c r="C49" s="148">
        <v>40</v>
      </c>
      <c r="D49" s="159" t="s">
        <v>77</v>
      </c>
      <c r="E49" s="162" t="s">
        <v>156</v>
      </c>
      <c r="F49" s="181">
        <v>290000</v>
      </c>
      <c r="G49" s="181">
        <f t="shared" si="1"/>
        <v>11600000</v>
      </c>
      <c r="H49" s="217">
        <f>+'C01_INICIAL'!F49</f>
        <v>290000</v>
      </c>
      <c r="I49" s="217">
        <f>+'CO2'!F49</f>
        <v>261300</v>
      </c>
      <c r="J49" s="217">
        <f>+'CO3'!F49</f>
        <v>191400</v>
      </c>
      <c r="K49" s="217">
        <f>+'CO4'!F49</f>
        <v>252000</v>
      </c>
      <c r="L49" s="217">
        <f t="shared" si="2"/>
        <v>248675</v>
      </c>
      <c r="M49" s="217">
        <f t="shared" si="4"/>
        <v>9947000</v>
      </c>
    </row>
    <row r="50" spans="1:13" x14ac:dyDescent="0.2">
      <c r="A50" s="158">
        <f t="shared" si="3"/>
        <v>20</v>
      </c>
      <c r="B50" s="156" t="s">
        <v>84</v>
      </c>
      <c r="C50" s="151">
        <v>1</v>
      </c>
      <c r="D50" s="159" t="s">
        <v>77</v>
      </c>
      <c r="E50" s="162"/>
      <c r="F50" s="181">
        <v>650000</v>
      </c>
      <c r="G50" s="181">
        <f t="shared" si="1"/>
        <v>650000</v>
      </c>
      <c r="H50" s="217">
        <f>+'C01_INICIAL'!F50</f>
        <v>650000</v>
      </c>
      <c r="I50" s="217">
        <f>+'CO2'!F50</f>
        <v>2720310.3194620861</v>
      </c>
      <c r="J50" s="217">
        <f>+'CO3'!F50</f>
        <v>466639</v>
      </c>
      <c r="K50" s="217">
        <f>+'CO4'!F50</f>
        <v>161995</v>
      </c>
      <c r="L50" s="217">
        <f t="shared" si="2"/>
        <v>999736.07986552152</v>
      </c>
      <c r="M50" s="217">
        <f t="shared" si="4"/>
        <v>999736.07986552152</v>
      </c>
    </row>
    <row r="51" spans="1:13" ht="25.5" x14ac:dyDescent="0.2">
      <c r="A51" s="158">
        <f t="shared" si="3"/>
        <v>21</v>
      </c>
      <c r="B51" s="156" t="s">
        <v>85</v>
      </c>
      <c r="C51" s="151">
        <v>2</v>
      </c>
      <c r="D51" s="159" t="s">
        <v>77</v>
      </c>
      <c r="E51" s="162" t="s">
        <v>156</v>
      </c>
      <c r="F51" s="181">
        <v>390000</v>
      </c>
      <c r="G51" s="181">
        <f t="shared" si="1"/>
        <v>780000</v>
      </c>
      <c r="H51" s="217">
        <f>+'C01_INICIAL'!F51</f>
        <v>390000</v>
      </c>
      <c r="I51" s="217">
        <f>+'CO2'!F51</f>
        <v>728000</v>
      </c>
      <c r="J51" s="217">
        <f>+'CO3'!F51</f>
        <v>425000</v>
      </c>
      <c r="K51" s="217">
        <f>+'CO4'!F51</f>
        <v>973000</v>
      </c>
      <c r="L51" s="217">
        <f t="shared" si="2"/>
        <v>629000</v>
      </c>
      <c r="M51" s="217">
        <f t="shared" si="4"/>
        <v>1258000</v>
      </c>
    </row>
    <row r="52" spans="1:13" x14ac:dyDescent="0.2">
      <c r="A52" s="158">
        <f t="shared" si="3"/>
        <v>22</v>
      </c>
      <c r="B52" s="156" t="s">
        <v>86</v>
      </c>
      <c r="C52" s="151">
        <v>1</v>
      </c>
      <c r="D52" s="159" t="s">
        <v>77</v>
      </c>
      <c r="E52" s="162"/>
      <c r="F52" s="181">
        <v>730000</v>
      </c>
      <c r="G52" s="181">
        <f t="shared" si="1"/>
        <v>730000</v>
      </c>
      <c r="H52" s="217">
        <f>+'C01_INICIAL'!F52</f>
        <v>730000</v>
      </c>
      <c r="I52" s="217">
        <f>+'CO2'!F52</f>
        <v>2305292.3308249991</v>
      </c>
      <c r="J52" s="217">
        <f>+'CO3'!F52</f>
        <v>466639</v>
      </c>
      <c r="K52" s="217">
        <f>+'CO4'!F52</f>
        <v>511980</v>
      </c>
      <c r="L52" s="217">
        <f t="shared" si="2"/>
        <v>1003477.8327062498</v>
      </c>
      <c r="M52" s="217">
        <f t="shared" si="4"/>
        <v>1003477.8327062498</v>
      </c>
    </row>
    <row r="53" spans="1:13" ht="38.25" x14ac:dyDescent="0.2">
      <c r="A53" s="158">
        <f t="shared" si="3"/>
        <v>23</v>
      </c>
      <c r="B53" s="156" t="s">
        <v>87</v>
      </c>
      <c r="C53" s="151">
        <v>1</v>
      </c>
      <c r="D53" s="159" t="s">
        <v>77</v>
      </c>
      <c r="E53" s="162" t="s">
        <v>157</v>
      </c>
      <c r="F53" s="181">
        <v>280000</v>
      </c>
      <c r="G53" s="181">
        <f t="shared" si="1"/>
        <v>280000</v>
      </c>
      <c r="H53" s="217">
        <f>+'C01_INICIAL'!F53</f>
        <v>280000</v>
      </c>
      <c r="I53" s="217">
        <f>+'CO2'!F53</f>
        <v>624000</v>
      </c>
      <c r="J53" s="217">
        <f>+'CO3'!F53</f>
        <v>87000</v>
      </c>
      <c r="K53" s="217">
        <f>+'CO4'!F53</f>
        <v>1540000</v>
      </c>
      <c r="L53" s="217">
        <f t="shared" si="2"/>
        <v>632750</v>
      </c>
      <c r="M53" s="217">
        <f t="shared" si="4"/>
        <v>632750</v>
      </c>
    </row>
    <row r="54" spans="1:13" x14ac:dyDescent="0.2">
      <c r="A54" s="158">
        <f t="shared" si="3"/>
        <v>24</v>
      </c>
      <c r="B54" s="156" t="s">
        <v>88</v>
      </c>
      <c r="C54" s="151">
        <v>1</v>
      </c>
      <c r="D54" s="159" t="s">
        <v>77</v>
      </c>
      <c r="E54" s="162"/>
      <c r="F54" s="181">
        <v>730000</v>
      </c>
      <c r="G54" s="181">
        <f t="shared" si="1"/>
        <v>730000</v>
      </c>
      <c r="H54" s="217">
        <f>+'C01_INICIAL'!F54</f>
        <v>730000</v>
      </c>
      <c r="I54" s="217">
        <f>+'CO2'!F54</f>
        <v>2305292.3308249991</v>
      </c>
      <c r="J54" s="217">
        <f>+'CO3'!F54</f>
        <v>466639</v>
      </c>
      <c r="K54" s="217">
        <f>+'CO4'!F54</f>
        <v>511980</v>
      </c>
      <c r="L54" s="217">
        <f t="shared" si="2"/>
        <v>1003477.8327062498</v>
      </c>
      <c r="M54" s="217">
        <f t="shared" si="4"/>
        <v>1003477.8327062498</v>
      </c>
    </row>
    <row r="55" spans="1:13" ht="38.25" x14ac:dyDescent="0.2">
      <c r="A55" s="158">
        <f t="shared" si="3"/>
        <v>25</v>
      </c>
      <c r="B55" s="156" t="s">
        <v>89</v>
      </c>
      <c r="C55" s="151">
        <v>2</v>
      </c>
      <c r="D55" s="159" t="s">
        <v>77</v>
      </c>
      <c r="E55" s="162" t="s">
        <v>157</v>
      </c>
      <c r="F55" s="181">
        <v>540000</v>
      </c>
      <c r="G55" s="181">
        <f t="shared" si="1"/>
        <v>1080000</v>
      </c>
      <c r="H55" s="217">
        <f>+'C01_INICIAL'!F55</f>
        <v>540000</v>
      </c>
      <c r="I55" s="217">
        <f>+'CO2'!F55</f>
        <v>874640</v>
      </c>
      <c r="J55" s="217">
        <f>+'CO3'!F55</f>
        <v>174000</v>
      </c>
      <c r="K55" s="217">
        <f>+'CO4'!F55</f>
        <v>1750000</v>
      </c>
      <c r="L55" s="217">
        <f t="shared" si="2"/>
        <v>834660</v>
      </c>
      <c r="M55" s="217">
        <f t="shared" si="4"/>
        <v>1669320</v>
      </c>
    </row>
    <row r="56" spans="1:13" x14ac:dyDescent="0.2">
      <c r="A56" s="158">
        <f>+A55+1</f>
        <v>26</v>
      </c>
      <c r="B56" s="156" t="s">
        <v>90</v>
      </c>
      <c r="C56" s="151">
        <v>1</v>
      </c>
      <c r="D56" s="159" t="s">
        <v>77</v>
      </c>
      <c r="E56" s="162"/>
      <c r="F56" s="181">
        <v>790000</v>
      </c>
      <c r="G56" s="181">
        <f t="shared" si="1"/>
        <v>790000</v>
      </c>
      <c r="H56" s="217">
        <f>+'C01_INICIAL'!F56</f>
        <v>790000</v>
      </c>
      <c r="I56" s="217">
        <f>+'CO2'!F56</f>
        <v>2305292.3308249991</v>
      </c>
      <c r="J56" s="217">
        <f>+'CO3'!F56</f>
        <v>1079340</v>
      </c>
      <c r="K56" s="217">
        <f>+'CO4'!F56</f>
        <v>675780</v>
      </c>
      <c r="L56" s="217">
        <f t="shared" si="2"/>
        <v>1212603.0827062498</v>
      </c>
      <c r="M56" s="217">
        <f t="shared" si="4"/>
        <v>1212603.0827062498</v>
      </c>
    </row>
    <row r="57" spans="1:13" ht="38.25" x14ac:dyDescent="0.2">
      <c r="A57" s="158">
        <f t="shared" si="3"/>
        <v>27</v>
      </c>
      <c r="B57" s="156" t="s">
        <v>91</v>
      </c>
      <c r="C57" s="151">
        <v>2</v>
      </c>
      <c r="D57" s="159" t="s">
        <v>77</v>
      </c>
      <c r="E57" s="162" t="s">
        <v>157</v>
      </c>
      <c r="F57" s="181" t="s">
        <v>190</v>
      </c>
      <c r="G57" s="181" t="s">
        <v>190</v>
      </c>
      <c r="H57" s="217" t="str">
        <f>+'C01_INICIAL'!F57</f>
        <v>N/A</v>
      </c>
      <c r="I57" s="217">
        <f>+'CO2'!F57</f>
        <v>1216800</v>
      </c>
      <c r="J57" s="217">
        <f>+'CO3'!F57</f>
        <v>261000</v>
      </c>
      <c r="K57" s="217">
        <f>+'CO4'!F57</f>
        <v>2380000</v>
      </c>
      <c r="L57" s="217">
        <f t="shared" si="2"/>
        <v>1285933.3333333333</v>
      </c>
      <c r="M57" s="217">
        <f t="shared" si="4"/>
        <v>2571866.6666666665</v>
      </c>
    </row>
    <row r="58" spans="1:13" x14ac:dyDescent="0.2">
      <c r="A58" s="158">
        <f t="shared" si="3"/>
        <v>28</v>
      </c>
      <c r="B58" s="156" t="s">
        <v>92</v>
      </c>
      <c r="C58" s="151">
        <v>1</v>
      </c>
      <c r="D58" s="159" t="s">
        <v>77</v>
      </c>
      <c r="E58" s="162"/>
      <c r="F58" s="181">
        <v>920000</v>
      </c>
      <c r="G58" s="181">
        <f t="shared" si="1"/>
        <v>920000</v>
      </c>
      <c r="H58" s="217">
        <f>+'C01_INICIAL'!F58</f>
        <v>920000</v>
      </c>
      <c r="I58" s="217">
        <f>+'CO2'!F58</f>
        <v>2305292.3308249991</v>
      </c>
      <c r="J58" s="217">
        <f>+'CO3'!F58</f>
        <v>1079340</v>
      </c>
      <c r="K58" s="217">
        <f>+'CO4'!F58</f>
        <v>675780</v>
      </c>
      <c r="L58" s="217">
        <f t="shared" si="2"/>
        <v>1245103.0827062498</v>
      </c>
      <c r="M58" s="217">
        <f t="shared" si="4"/>
        <v>1245103.0827062498</v>
      </c>
    </row>
    <row r="59" spans="1:13" ht="38.25" x14ac:dyDescent="0.2">
      <c r="A59" s="158">
        <f t="shared" si="3"/>
        <v>29</v>
      </c>
      <c r="B59" s="156" t="s">
        <v>93</v>
      </c>
      <c r="C59" s="151">
        <v>1</v>
      </c>
      <c r="D59" s="159" t="s">
        <v>77</v>
      </c>
      <c r="E59" s="162" t="s">
        <v>157</v>
      </c>
      <c r="F59" s="181" t="s">
        <v>190</v>
      </c>
      <c r="G59" s="181" t="s">
        <v>190</v>
      </c>
      <c r="H59" s="217" t="str">
        <f>+'C01_INICIAL'!F59</f>
        <v>N/A</v>
      </c>
      <c r="I59" s="217">
        <f>+'CO2'!F59</f>
        <v>874640</v>
      </c>
      <c r="J59" s="217">
        <f>+'CO3'!F59</f>
        <v>174000</v>
      </c>
      <c r="K59" s="217">
        <f>+'CO4'!F59</f>
        <v>4480000</v>
      </c>
      <c r="L59" s="217">
        <f t="shared" si="2"/>
        <v>1842880</v>
      </c>
      <c r="M59" s="217">
        <f t="shared" si="4"/>
        <v>1842880</v>
      </c>
    </row>
    <row r="60" spans="1:13" x14ac:dyDescent="0.2">
      <c r="A60" s="158">
        <f t="shared" si="3"/>
        <v>30</v>
      </c>
      <c r="B60" s="156" t="s">
        <v>94</v>
      </c>
      <c r="C60" s="151">
        <v>1</v>
      </c>
      <c r="D60" s="159" t="s">
        <v>77</v>
      </c>
      <c r="E60" s="162"/>
      <c r="F60" s="181">
        <v>920000</v>
      </c>
      <c r="G60" s="181">
        <f t="shared" si="1"/>
        <v>920000</v>
      </c>
      <c r="H60" s="217">
        <f>+'C01_INICIAL'!F60</f>
        <v>920000</v>
      </c>
      <c r="I60" s="217">
        <f>+'CO2'!F60</f>
        <v>2305292.3308249991</v>
      </c>
      <c r="J60" s="217">
        <f>+'CO3'!F60</f>
        <v>1079340</v>
      </c>
      <c r="K60" s="217">
        <f>+'CO4'!F60</f>
        <v>675780</v>
      </c>
      <c r="L60" s="217">
        <f t="shared" si="2"/>
        <v>1245103.0827062498</v>
      </c>
      <c r="M60" s="217">
        <f t="shared" si="4"/>
        <v>1245103.0827062498</v>
      </c>
    </row>
    <row r="61" spans="1:13" ht="38.25" x14ac:dyDescent="0.2">
      <c r="A61" s="158">
        <f t="shared" si="3"/>
        <v>31</v>
      </c>
      <c r="B61" s="156" t="s">
        <v>95</v>
      </c>
      <c r="C61" s="151">
        <v>1</v>
      </c>
      <c r="D61" s="159" t="s">
        <v>77</v>
      </c>
      <c r="E61" s="162" t="s">
        <v>157</v>
      </c>
      <c r="F61" s="181" t="s">
        <v>190</v>
      </c>
      <c r="G61" s="181" t="s">
        <v>190</v>
      </c>
      <c r="H61" s="217" t="str">
        <f>+'C01_INICIAL'!F61</f>
        <v>N/A</v>
      </c>
      <c r="I61" s="217">
        <f>+'CO2'!F61</f>
        <v>2730000</v>
      </c>
      <c r="J61" s="217">
        <f>+'CO3'!F61</f>
        <v>522000</v>
      </c>
      <c r="K61" s="217">
        <f>+'CO4'!F61</f>
        <v>4760000</v>
      </c>
      <c r="L61" s="217">
        <f t="shared" si="2"/>
        <v>2670666.6666666665</v>
      </c>
      <c r="M61" s="217">
        <f t="shared" si="4"/>
        <v>2670666.6666666665</v>
      </c>
    </row>
    <row r="62" spans="1:13" ht="12.75" customHeight="1" x14ac:dyDescent="0.2">
      <c r="A62" s="158">
        <f t="shared" si="3"/>
        <v>32</v>
      </c>
      <c r="B62" s="156" t="s">
        <v>96</v>
      </c>
      <c r="C62" s="151">
        <v>1</v>
      </c>
      <c r="D62" s="159" t="s">
        <v>77</v>
      </c>
      <c r="E62" s="162"/>
      <c r="F62" s="181"/>
      <c r="G62" s="181">
        <f t="shared" si="1"/>
        <v>0</v>
      </c>
      <c r="H62" s="217">
        <f>+'C01_INICIAL'!F62</f>
        <v>0</v>
      </c>
      <c r="I62" s="217">
        <f>+'CO2'!F62</f>
        <v>263900</v>
      </c>
      <c r="J62" s="217">
        <f>+'CO3'!F62</f>
        <v>0</v>
      </c>
      <c r="K62" s="217">
        <f>+'CO4'!F62</f>
        <v>0</v>
      </c>
      <c r="L62" s="217">
        <f t="shared" si="2"/>
        <v>65975</v>
      </c>
      <c r="M62" s="217">
        <f t="shared" si="4"/>
        <v>65975</v>
      </c>
    </row>
    <row r="63" spans="1:13" ht="12.75" customHeight="1" x14ac:dyDescent="0.2">
      <c r="A63" s="158">
        <f t="shared" si="3"/>
        <v>33</v>
      </c>
      <c r="B63" s="156" t="s">
        <v>97</v>
      </c>
      <c r="C63" s="151">
        <v>1</v>
      </c>
      <c r="D63" s="159" t="s">
        <v>77</v>
      </c>
      <c r="E63" s="162"/>
      <c r="F63" s="181"/>
      <c r="G63" s="181">
        <f t="shared" si="1"/>
        <v>0</v>
      </c>
      <c r="H63" s="217">
        <f>+'C01_INICIAL'!F63</f>
        <v>0</v>
      </c>
      <c r="I63" s="217">
        <f>+'CO2'!F63</f>
        <v>455000</v>
      </c>
      <c r="J63" s="217">
        <f>+'CO3'!F63</f>
        <v>0</v>
      </c>
      <c r="K63" s="217">
        <f>+'CO4'!F63</f>
        <v>0</v>
      </c>
      <c r="L63" s="217">
        <f t="shared" si="2"/>
        <v>113750</v>
      </c>
      <c r="M63" s="217">
        <f t="shared" si="4"/>
        <v>113750</v>
      </c>
    </row>
    <row r="64" spans="1:13" ht="12.75" customHeight="1" x14ac:dyDescent="0.2">
      <c r="A64" s="158">
        <f t="shared" si="3"/>
        <v>34</v>
      </c>
      <c r="B64" s="156" t="s">
        <v>98</v>
      </c>
      <c r="C64" s="151">
        <v>1</v>
      </c>
      <c r="D64" s="159" t="s">
        <v>77</v>
      </c>
      <c r="E64" s="162"/>
      <c r="F64" s="181"/>
      <c r="G64" s="181">
        <f t="shared" si="1"/>
        <v>0</v>
      </c>
      <c r="H64" s="217">
        <f>+'C01_INICIAL'!F64</f>
        <v>0</v>
      </c>
      <c r="I64" s="217">
        <f>+'CO2'!F64</f>
        <v>728000</v>
      </c>
      <c r="J64" s="217">
        <f>+'CO3'!F64</f>
        <v>0</v>
      </c>
      <c r="K64" s="217">
        <f>+'CO4'!F64</f>
        <v>0</v>
      </c>
      <c r="L64" s="217">
        <f t="shared" si="2"/>
        <v>182000</v>
      </c>
      <c r="M64" s="217">
        <f t="shared" si="4"/>
        <v>182000</v>
      </c>
    </row>
    <row r="65" spans="1:13" ht="12.75" customHeight="1" x14ac:dyDescent="0.2">
      <c r="A65" s="158">
        <f t="shared" si="3"/>
        <v>35</v>
      </c>
      <c r="B65" s="156" t="s">
        <v>99</v>
      </c>
      <c r="C65" s="151">
        <v>1</v>
      </c>
      <c r="D65" s="159" t="s">
        <v>77</v>
      </c>
      <c r="E65" s="162"/>
      <c r="F65" s="181"/>
      <c r="G65" s="181">
        <f t="shared" si="1"/>
        <v>0</v>
      </c>
      <c r="H65" s="217">
        <f>+'C01_INICIAL'!F65</f>
        <v>0</v>
      </c>
      <c r="I65" s="217">
        <f>+'CO2'!F65</f>
        <v>874640</v>
      </c>
      <c r="J65" s="217">
        <f>+'CO3'!F65</f>
        <v>0</v>
      </c>
      <c r="K65" s="217">
        <f>+'CO4'!F65</f>
        <v>0</v>
      </c>
      <c r="L65" s="217">
        <f t="shared" si="2"/>
        <v>218660</v>
      </c>
      <c r="M65" s="217">
        <f t="shared" si="4"/>
        <v>218660</v>
      </c>
    </row>
    <row r="66" spans="1:13" ht="12.75" customHeight="1" x14ac:dyDescent="0.2">
      <c r="A66" s="158">
        <f t="shared" si="3"/>
        <v>36</v>
      </c>
      <c r="B66" s="156" t="s">
        <v>100</v>
      </c>
      <c r="C66" s="151">
        <v>1</v>
      </c>
      <c r="D66" s="154" t="s">
        <v>77</v>
      </c>
      <c r="E66" s="162"/>
      <c r="F66" s="181"/>
      <c r="G66" s="181">
        <f t="shared" si="1"/>
        <v>0</v>
      </c>
      <c r="H66" s="217">
        <f>+'C01_INICIAL'!F66</f>
        <v>0</v>
      </c>
      <c r="I66" s="217">
        <f>+'CO2'!F66</f>
        <v>1216800</v>
      </c>
      <c r="J66" s="217">
        <f>+'CO3'!F66</f>
        <v>0</v>
      </c>
      <c r="K66" s="217">
        <f>+'CO4'!F66</f>
        <v>0</v>
      </c>
      <c r="L66" s="217">
        <f t="shared" si="2"/>
        <v>304200</v>
      </c>
      <c r="M66" s="217">
        <f t="shared" si="4"/>
        <v>304200</v>
      </c>
    </row>
    <row r="67" spans="1:13" x14ac:dyDescent="0.2">
      <c r="A67" s="158">
        <f t="shared" si="3"/>
        <v>37</v>
      </c>
      <c r="B67" s="156" t="s">
        <v>155</v>
      </c>
      <c r="C67" s="151">
        <v>5000</v>
      </c>
      <c r="D67" s="159"/>
      <c r="E67" s="162"/>
      <c r="F67" s="181">
        <v>3200</v>
      </c>
      <c r="G67" s="181">
        <f t="shared" si="1"/>
        <v>16000000</v>
      </c>
      <c r="H67" s="217">
        <f>+'C01_INICIAL'!F67</f>
        <v>3200</v>
      </c>
      <c r="I67" s="217">
        <f>+'CO2'!F67</f>
        <v>1430</v>
      </c>
      <c r="J67" s="217">
        <f>+'CO3'!F67</f>
        <v>4060</v>
      </c>
      <c r="K67" s="217">
        <f>+'CO4'!F67</f>
        <v>4900</v>
      </c>
      <c r="L67" s="217">
        <f t="shared" si="2"/>
        <v>3397.5</v>
      </c>
      <c r="M67" s="217">
        <f t="shared" si="4"/>
        <v>16987500</v>
      </c>
    </row>
    <row r="68" spans="1:13" ht="14.25" customHeight="1" x14ac:dyDescent="0.2">
      <c r="A68" s="143"/>
      <c r="B68" s="551" t="s">
        <v>178</v>
      </c>
      <c r="C68" s="552"/>
      <c r="D68" s="552"/>
      <c r="E68" s="552"/>
      <c r="F68" s="552"/>
      <c r="G68" s="553"/>
      <c r="H68" s="217">
        <f>+'C01_INICIAL'!F68</f>
        <v>0</v>
      </c>
      <c r="I68" s="217">
        <f>+'CO2'!F68</f>
        <v>0</v>
      </c>
      <c r="J68" s="217">
        <f>+'CO3'!F68</f>
        <v>0</v>
      </c>
      <c r="K68" s="217">
        <f>+'CO4'!F68</f>
        <v>0</v>
      </c>
      <c r="L68" s="217">
        <f t="shared" si="2"/>
        <v>0</v>
      </c>
      <c r="M68" s="217">
        <f t="shared" si="4"/>
        <v>0</v>
      </c>
    </row>
    <row r="69" spans="1:13" x14ac:dyDescent="0.2">
      <c r="A69" s="158">
        <v>1</v>
      </c>
      <c r="B69" s="156" t="s">
        <v>163</v>
      </c>
      <c r="C69" s="160"/>
      <c r="D69" s="159"/>
      <c r="E69" s="162"/>
      <c r="F69" s="181">
        <v>1200000</v>
      </c>
      <c r="G69" s="181">
        <v>1200000</v>
      </c>
      <c r="H69" s="217">
        <f>+'C01_INICIAL'!F69</f>
        <v>1200000</v>
      </c>
      <c r="I69" s="217">
        <f>+'CO2'!F69</f>
        <v>364</v>
      </c>
      <c r="J69" s="217">
        <f>+'CO3'!F69</f>
        <v>663917</v>
      </c>
      <c r="K69" s="217">
        <f>+'CO4'!F69</f>
        <v>476050</v>
      </c>
      <c r="L69" s="217">
        <f t="shared" si="2"/>
        <v>585082.75</v>
      </c>
      <c r="M69" s="217">
        <f t="shared" si="4"/>
        <v>0</v>
      </c>
    </row>
    <row r="70" spans="1:13" x14ac:dyDescent="0.2">
      <c r="A70" s="158">
        <v>2</v>
      </c>
      <c r="B70" s="156" t="s">
        <v>164</v>
      </c>
      <c r="C70" s="160">
        <v>58500</v>
      </c>
      <c r="D70" s="159" t="s">
        <v>77</v>
      </c>
      <c r="E70" s="162"/>
      <c r="F70" s="181">
        <v>270</v>
      </c>
      <c r="G70" s="181">
        <f t="shared" si="1"/>
        <v>15795000</v>
      </c>
      <c r="H70" s="217">
        <f>+'C01_INICIAL'!F70</f>
        <v>270</v>
      </c>
      <c r="I70" s="217">
        <f>+'CO2'!F70</f>
        <v>3197182.3993580537</v>
      </c>
      <c r="J70" s="217">
        <f>+'CO3'!F70</f>
        <v>223.88</v>
      </c>
      <c r="K70" s="217">
        <f>+'CO4'!F70</f>
        <v>605</v>
      </c>
      <c r="L70" s="217">
        <f t="shared" si="2"/>
        <v>799570.31983951339</v>
      </c>
      <c r="M70" s="217">
        <f t="shared" si="4"/>
        <v>46774863710.611534</v>
      </c>
    </row>
    <row r="71" spans="1:13" ht="25.5" x14ac:dyDescent="0.2">
      <c r="A71" s="158">
        <v>3</v>
      </c>
      <c r="B71" s="156" t="s">
        <v>165</v>
      </c>
      <c r="C71" s="160">
        <v>1</v>
      </c>
      <c r="D71" s="159"/>
      <c r="E71" s="162"/>
      <c r="F71" s="181">
        <v>2300000</v>
      </c>
      <c r="G71" s="181">
        <v>2300000</v>
      </c>
      <c r="H71" s="217">
        <f>+'C01_INICIAL'!F71</f>
        <v>2300000</v>
      </c>
      <c r="I71" s="217">
        <f>+'CO2'!F71</f>
        <v>2990</v>
      </c>
      <c r="J71" s="217" t="e">
        <f>+'CO3'!#REF!</f>
        <v>#REF!</v>
      </c>
      <c r="K71" s="217">
        <f>+'CO4'!F71</f>
        <v>185100</v>
      </c>
      <c r="L71" s="217" t="e">
        <f t="shared" si="2"/>
        <v>#REF!</v>
      </c>
      <c r="M71" s="217" t="e">
        <f t="shared" si="4"/>
        <v>#REF!</v>
      </c>
    </row>
    <row r="72" spans="1:13" ht="30.75" customHeight="1" x14ac:dyDescent="0.2">
      <c r="A72" s="158">
        <v>4</v>
      </c>
      <c r="B72" s="156" t="s">
        <v>166</v>
      </c>
      <c r="C72" s="160">
        <v>29250</v>
      </c>
      <c r="D72" s="159" t="s">
        <v>77</v>
      </c>
      <c r="E72" s="162"/>
      <c r="F72" s="181">
        <v>1900</v>
      </c>
      <c r="G72" s="181">
        <f t="shared" si="1"/>
        <v>55575000</v>
      </c>
      <c r="H72" s="217">
        <f>+'C01_INICIAL'!F72</f>
        <v>1900</v>
      </c>
      <c r="I72" s="217">
        <f>+'CO2'!F72</f>
        <v>1022163.3362408016</v>
      </c>
      <c r="J72" s="217" t="e">
        <f>+'CO3'!#REF!</f>
        <v>#REF!</v>
      </c>
      <c r="K72" s="217">
        <f>+'CO4'!F72</f>
        <v>4384</v>
      </c>
      <c r="L72" s="217" t="e">
        <f t="shared" si="2"/>
        <v>#REF!</v>
      </c>
      <c r="M72" s="217" t="e">
        <f t="shared" si="4"/>
        <v>#REF!</v>
      </c>
    </row>
    <row r="73" spans="1:13" ht="27.75" customHeight="1" x14ac:dyDescent="0.2">
      <c r="A73" s="158">
        <v>5</v>
      </c>
      <c r="B73" s="156" t="s">
        <v>167</v>
      </c>
      <c r="C73" s="160">
        <v>1</v>
      </c>
      <c r="D73" s="159"/>
      <c r="E73" s="162"/>
      <c r="F73" s="181">
        <v>2500000</v>
      </c>
      <c r="G73" s="181">
        <v>2500000</v>
      </c>
      <c r="H73" s="217">
        <f>+'C01_INICIAL'!F73</f>
        <v>2500000</v>
      </c>
      <c r="I73" s="217">
        <f>+'CO2'!F73</f>
        <v>325</v>
      </c>
      <c r="J73" s="217">
        <f>+'CO3'!F71</f>
        <v>360413</v>
      </c>
      <c r="K73" s="217">
        <f>+'CO4'!F73</f>
        <v>760725</v>
      </c>
      <c r="L73" s="217">
        <f t="shared" si="2"/>
        <v>905365.75</v>
      </c>
      <c r="M73" s="217">
        <f t="shared" si="4"/>
        <v>905365.75</v>
      </c>
    </row>
    <row r="74" spans="1:13" ht="30" customHeight="1" x14ac:dyDescent="0.2">
      <c r="A74" s="158">
        <v>6</v>
      </c>
      <c r="B74" s="156" t="s">
        <v>168</v>
      </c>
      <c r="C74" s="160">
        <v>29250</v>
      </c>
      <c r="D74" s="159" t="s">
        <v>77</v>
      </c>
      <c r="E74" s="162"/>
      <c r="F74" s="181">
        <v>2800</v>
      </c>
      <c r="G74" s="181">
        <f t="shared" si="1"/>
        <v>81900000</v>
      </c>
      <c r="H74" s="217">
        <f>+'C01_INICIAL'!F74</f>
        <v>2800</v>
      </c>
      <c r="I74" s="217">
        <f>+'CO2'!F74</f>
        <v>3200214.8770128721</v>
      </c>
      <c r="J74" s="217">
        <f>+'CO3'!F72</f>
        <v>266.8</v>
      </c>
      <c r="K74" s="217">
        <f>+'CO4'!F74</f>
        <v>372</v>
      </c>
      <c r="L74" s="217">
        <f t="shared" si="2"/>
        <v>800913.41925321799</v>
      </c>
      <c r="M74" s="217">
        <f t="shared" si="4"/>
        <v>23426717513.156628</v>
      </c>
    </row>
    <row r="75" spans="1:13" x14ac:dyDescent="0.2">
      <c r="A75" s="158">
        <v>7</v>
      </c>
      <c r="B75" s="156" t="s">
        <v>149</v>
      </c>
      <c r="C75" s="160">
        <v>29250</v>
      </c>
      <c r="D75" s="159" t="s">
        <v>77</v>
      </c>
      <c r="E75" s="162"/>
      <c r="F75" s="181">
        <v>25000</v>
      </c>
      <c r="G75" s="181">
        <f t="shared" si="1"/>
        <v>731250000</v>
      </c>
      <c r="H75" s="217">
        <f>+'C01_INICIAL'!F75</f>
        <v>25000</v>
      </c>
      <c r="I75" s="217">
        <f>+'CO2'!F75</f>
        <v>26000</v>
      </c>
      <c r="J75" s="217">
        <f>+'CO3'!F73</f>
        <v>0</v>
      </c>
      <c r="K75" s="217">
        <f>+'CO4'!F75</f>
        <v>31850</v>
      </c>
      <c r="L75" s="217">
        <f t="shared" si="2"/>
        <v>20712.5</v>
      </c>
      <c r="M75" s="217">
        <f t="shared" si="4"/>
        <v>605840625</v>
      </c>
    </row>
    <row r="76" spans="1:13" ht="24" customHeight="1" x14ac:dyDescent="0.2">
      <c r="A76" s="158">
        <v>8</v>
      </c>
      <c r="B76" s="156" t="s">
        <v>150</v>
      </c>
      <c r="C76" s="160">
        <v>29250</v>
      </c>
      <c r="D76" s="159" t="s">
        <v>77</v>
      </c>
      <c r="E76" s="162"/>
      <c r="F76" s="181">
        <v>3500</v>
      </c>
      <c r="G76" s="181">
        <f t="shared" si="1"/>
        <v>102375000</v>
      </c>
      <c r="H76" s="217">
        <f>+'C01_INICIAL'!F76</f>
        <v>3500</v>
      </c>
      <c r="I76" s="217">
        <f>+'CO2'!F76</f>
        <v>650</v>
      </c>
      <c r="J76" s="217">
        <f>+'CO3'!F74</f>
        <v>0</v>
      </c>
      <c r="K76" s="217">
        <f>+'CO4'!F76</f>
        <v>20000</v>
      </c>
      <c r="L76" s="217">
        <f t="shared" si="2"/>
        <v>6037.5</v>
      </c>
      <c r="M76" s="217">
        <f t="shared" ref="M76:M87" si="5">+L76*C76</f>
        <v>176596875</v>
      </c>
    </row>
    <row r="77" spans="1:13" ht="58.5" customHeight="1" x14ac:dyDescent="0.2">
      <c r="A77" s="146">
        <v>9</v>
      </c>
      <c r="B77" s="156" t="s">
        <v>76</v>
      </c>
      <c r="C77" s="160">
        <v>29250</v>
      </c>
      <c r="D77" s="159" t="s">
        <v>77</v>
      </c>
      <c r="E77" s="162" t="s">
        <v>159</v>
      </c>
      <c r="F77" s="181">
        <v>9200</v>
      </c>
      <c r="G77" s="181">
        <f t="shared" ref="G77:G81" si="6">+F77*C77</f>
        <v>269100000</v>
      </c>
      <c r="H77" s="217">
        <f>+'C01_INICIAL'!F77</f>
        <v>9200</v>
      </c>
      <c r="I77" s="217">
        <f>+'CO2'!F77</f>
        <v>5000</v>
      </c>
      <c r="J77" s="217">
        <f>+'CO3'!F75</f>
        <v>0</v>
      </c>
      <c r="K77" s="217">
        <f>+'CO4'!F77</f>
        <v>4017</v>
      </c>
      <c r="L77" s="217">
        <f t="shared" ref="L77:L86" si="7">+AVERAGE(H77:K77)</f>
        <v>4554.25</v>
      </c>
      <c r="M77" s="217">
        <f t="shared" si="5"/>
        <v>133211812.5</v>
      </c>
    </row>
    <row r="78" spans="1:13" ht="14.25" customHeight="1" x14ac:dyDescent="0.2">
      <c r="A78" s="143"/>
      <c r="B78" s="142" t="s">
        <v>179</v>
      </c>
      <c r="C78" s="144"/>
      <c r="D78" s="142"/>
      <c r="E78" s="145"/>
      <c r="F78" s="180"/>
      <c r="G78" s="180"/>
      <c r="H78" s="217">
        <f>+'C01_INICIAL'!F78</f>
        <v>0</v>
      </c>
      <c r="I78" s="217">
        <f>+'CO2'!F78</f>
        <v>0</v>
      </c>
      <c r="J78" s="217">
        <f>+'CO3'!F76</f>
        <v>0</v>
      </c>
      <c r="K78" s="217">
        <f>+'CO4'!F78</f>
        <v>0</v>
      </c>
      <c r="L78" s="217">
        <f t="shared" si="7"/>
        <v>0</v>
      </c>
      <c r="M78" s="217">
        <f t="shared" si="5"/>
        <v>0</v>
      </c>
    </row>
    <row r="79" spans="1:13" x14ac:dyDescent="0.2">
      <c r="A79" s="158" t="s">
        <v>180</v>
      </c>
      <c r="B79" s="156" t="s">
        <v>143</v>
      </c>
      <c r="C79" s="151">
        <v>1</v>
      </c>
      <c r="D79" s="159" t="s">
        <v>106</v>
      </c>
      <c r="E79" s="162" t="s">
        <v>130</v>
      </c>
      <c r="F79" s="181">
        <v>3200000</v>
      </c>
      <c r="G79" s="181">
        <f t="shared" si="6"/>
        <v>3200000</v>
      </c>
      <c r="H79" s="217">
        <f>+'C01_INICIAL'!F79</f>
        <v>3200000</v>
      </c>
      <c r="I79" s="217">
        <f>+'CO2'!F79</f>
        <v>15080000</v>
      </c>
      <c r="J79" s="217">
        <f>+'CO3'!F77</f>
        <v>35000000</v>
      </c>
      <c r="K79" s="217">
        <f>+'CO4'!F79</f>
        <v>21890000</v>
      </c>
      <c r="L79" s="217">
        <f t="shared" si="7"/>
        <v>18792500</v>
      </c>
      <c r="M79" s="217">
        <f t="shared" si="5"/>
        <v>18792500</v>
      </c>
    </row>
    <row r="80" spans="1:13" x14ac:dyDescent="0.2">
      <c r="A80" s="158" t="s">
        <v>181</v>
      </c>
      <c r="B80" s="156" t="s">
        <v>118</v>
      </c>
      <c r="C80" s="151">
        <v>1</v>
      </c>
      <c r="D80" s="159" t="s">
        <v>119</v>
      </c>
      <c r="E80" s="163" t="s">
        <v>109</v>
      </c>
      <c r="F80" s="181">
        <v>15600000</v>
      </c>
      <c r="G80" s="181">
        <f t="shared" si="6"/>
        <v>15600000</v>
      </c>
      <c r="H80" s="217">
        <f>+'C01_INICIAL'!F80</f>
        <v>15600000</v>
      </c>
      <c r="I80" s="217">
        <f>+'CO2'!F80</f>
        <v>37700000</v>
      </c>
      <c r="J80" s="217">
        <f>+'CO3'!F78</f>
        <v>235000000</v>
      </c>
      <c r="K80" s="217">
        <f>+'CO4'!F80</f>
        <v>49000000</v>
      </c>
      <c r="L80" s="217">
        <f t="shared" si="7"/>
        <v>84325000</v>
      </c>
      <c r="M80" s="217">
        <f t="shared" si="5"/>
        <v>84325000</v>
      </c>
    </row>
    <row r="81" spans="1:13" ht="42" customHeight="1" x14ac:dyDescent="0.2">
      <c r="A81" s="158" t="s">
        <v>182</v>
      </c>
      <c r="B81" s="156" t="s">
        <v>120</v>
      </c>
      <c r="C81" s="160">
        <v>4000</v>
      </c>
      <c r="D81" s="159" t="s">
        <v>108</v>
      </c>
      <c r="E81" s="164" t="s">
        <v>158</v>
      </c>
      <c r="F81" s="181">
        <v>900</v>
      </c>
      <c r="G81" s="181">
        <f t="shared" si="6"/>
        <v>3600000</v>
      </c>
      <c r="H81" s="217">
        <f>+'C01_INICIAL'!F81</f>
        <v>900</v>
      </c>
      <c r="I81" s="217">
        <f>+'CO2'!F81</f>
        <v>754</v>
      </c>
      <c r="J81" s="217">
        <f>+'CO3'!F79</f>
        <v>500</v>
      </c>
      <c r="K81" s="217">
        <f>+'CO4'!F81</f>
        <v>3000</v>
      </c>
      <c r="L81" s="217">
        <f t="shared" si="7"/>
        <v>1288.5</v>
      </c>
      <c r="M81" s="217">
        <f t="shared" si="5"/>
        <v>5154000</v>
      </c>
    </row>
    <row r="82" spans="1:13" ht="25.5" hidden="1" customHeight="1" x14ac:dyDescent="0.2">
      <c r="A82" s="143"/>
      <c r="B82" s="165" t="s">
        <v>121</v>
      </c>
      <c r="C82" s="144"/>
      <c r="D82" s="142"/>
      <c r="E82" s="145"/>
      <c r="F82" s="180"/>
      <c r="G82" s="180"/>
      <c r="H82" s="217">
        <f>+'C01_INICIAL'!F82</f>
        <v>0</v>
      </c>
      <c r="I82" s="217">
        <f>+'CO2'!F82</f>
        <v>0</v>
      </c>
      <c r="J82" s="217">
        <f>+'CO3'!F80</f>
        <v>0</v>
      </c>
      <c r="K82" s="217">
        <f>+'CO4'!F82</f>
        <v>0</v>
      </c>
      <c r="L82" s="217">
        <f t="shared" si="7"/>
        <v>0</v>
      </c>
      <c r="M82" s="217">
        <f t="shared" si="5"/>
        <v>0</v>
      </c>
    </row>
    <row r="83" spans="1:13" ht="12.75" hidden="1" customHeight="1" x14ac:dyDescent="0.2">
      <c r="A83" s="158"/>
      <c r="B83" s="156" t="s">
        <v>122</v>
      </c>
      <c r="C83" s="151"/>
      <c r="D83" s="159"/>
      <c r="E83" s="162"/>
      <c r="F83" s="181"/>
      <c r="G83" s="181"/>
      <c r="H83" s="217">
        <f>+'C01_INICIAL'!F83</f>
        <v>0</v>
      </c>
      <c r="I83" s="217">
        <f>+'CO2'!F83</f>
        <v>0</v>
      </c>
      <c r="J83" s="217">
        <f>+'CO3'!F81</f>
        <v>0</v>
      </c>
      <c r="K83" s="217">
        <f>+'CO4'!F83</f>
        <v>0</v>
      </c>
      <c r="L83" s="217">
        <f t="shared" si="7"/>
        <v>0</v>
      </c>
      <c r="M83" s="217">
        <f t="shared" si="5"/>
        <v>0</v>
      </c>
    </row>
    <row r="84" spans="1:13" x14ac:dyDescent="0.2">
      <c r="A84" s="143"/>
      <c r="B84" s="165" t="s">
        <v>183</v>
      </c>
      <c r="C84" s="144"/>
      <c r="D84" s="142"/>
      <c r="E84" s="145"/>
      <c r="F84" s="180"/>
      <c r="G84" s="180"/>
      <c r="H84" s="217">
        <f>+'C01_INICIAL'!F84</f>
        <v>0</v>
      </c>
      <c r="I84" s="217">
        <f>+'CO2'!F84</f>
        <v>0</v>
      </c>
      <c r="J84" s="217">
        <f>+'CO3'!F82</f>
        <v>0</v>
      </c>
      <c r="K84" s="217">
        <f>+'CO4'!F84</f>
        <v>0</v>
      </c>
      <c r="L84" s="217">
        <f t="shared" si="7"/>
        <v>0</v>
      </c>
      <c r="M84" s="217">
        <f t="shared" si="5"/>
        <v>0</v>
      </c>
    </row>
    <row r="85" spans="1:13" ht="38.25" x14ac:dyDescent="0.2">
      <c r="A85" s="146" t="s">
        <v>184</v>
      </c>
      <c r="B85" s="147" t="s">
        <v>162</v>
      </c>
      <c r="C85" s="148">
        <v>1</v>
      </c>
      <c r="D85" s="166" t="s">
        <v>77</v>
      </c>
      <c r="E85" s="163" t="s">
        <v>169</v>
      </c>
      <c r="F85" s="184">
        <v>100000000</v>
      </c>
      <c r="G85" s="181">
        <v>100000000</v>
      </c>
      <c r="H85" s="217">
        <f>+'C01_INICIAL'!F85</f>
        <v>100000000</v>
      </c>
      <c r="I85" s="217">
        <f>+'CO2'!F85</f>
        <v>18096000</v>
      </c>
      <c r="J85" s="217">
        <f>+'CO3'!F83</f>
        <v>96000000</v>
      </c>
      <c r="K85" s="217">
        <f>+'CO4'!F85</f>
        <v>95500000</v>
      </c>
      <c r="L85" s="217">
        <f t="shared" si="7"/>
        <v>77399000</v>
      </c>
      <c r="M85" s="217">
        <f t="shared" si="5"/>
        <v>77399000</v>
      </c>
    </row>
    <row r="86" spans="1:13" x14ac:dyDescent="0.2">
      <c r="A86" s="167"/>
      <c r="B86" s="168" t="s">
        <v>185</v>
      </c>
      <c r="C86" s="169"/>
      <c r="D86" s="168"/>
      <c r="E86" s="170"/>
      <c r="F86" s="180"/>
      <c r="G86" s="180"/>
      <c r="H86" s="217">
        <f>+'C01_INICIAL'!F86</f>
        <v>0</v>
      </c>
      <c r="I86" s="217">
        <f>+'CO2'!F86</f>
        <v>0</v>
      </c>
      <c r="J86" s="217">
        <f>+'CO3'!F84</f>
        <v>0</v>
      </c>
      <c r="K86" s="217">
        <f>+'CO4'!F86</f>
        <v>0</v>
      </c>
      <c r="L86" s="217">
        <f t="shared" si="7"/>
        <v>0</v>
      </c>
      <c r="M86" s="217">
        <f t="shared" si="5"/>
        <v>0</v>
      </c>
    </row>
    <row r="87" spans="1:13" ht="169.5" customHeight="1" x14ac:dyDescent="0.2">
      <c r="A87" s="146">
        <v>2.6</v>
      </c>
      <c r="B87" s="156" t="s">
        <v>103</v>
      </c>
      <c r="C87" s="151">
        <v>10</v>
      </c>
      <c r="D87" s="154" t="s">
        <v>105</v>
      </c>
      <c r="E87" s="149" t="s">
        <v>104</v>
      </c>
      <c r="F87" s="184">
        <v>35000000</v>
      </c>
      <c r="G87" s="181">
        <f>C87*F87</f>
        <v>350000000</v>
      </c>
      <c r="H87" s="217">
        <f>+'C01_INICIAL'!F87</f>
        <v>35000000</v>
      </c>
      <c r="I87" s="217">
        <f>+'CO2'!F87</f>
        <v>12064000</v>
      </c>
      <c r="J87" s="217">
        <f>+'CO3'!F85</f>
        <v>11210000</v>
      </c>
      <c r="K87" s="217">
        <f>+'CO4'!F87</f>
        <v>8690000</v>
      </c>
      <c r="L87" s="217">
        <f>+AVERAGE(H87:K87)</f>
        <v>16741000</v>
      </c>
      <c r="M87" s="217">
        <f t="shared" si="5"/>
        <v>167410000</v>
      </c>
    </row>
    <row r="89" spans="1:13" x14ac:dyDescent="0.2">
      <c r="M89" s="215" t="e">
        <f>+SUM(M12:M87)</f>
        <v>#REF!</v>
      </c>
    </row>
  </sheetData>
  <mergeCells count="5">
    <mergeCell ref="A8:G8"/>
    <mergeCell ref="A9:B9"/>
    <mergeCell ref="A24:A26"/>
    <mergeCell ref="B24:B26"/>
    <mergeCell ref="B68:G68"/>
  </mergeCells>
  <pageMargins left="0.70866141732283472" right="0.70866141732283472" top="0.74803149606299213" bottom="0.74803149606299213" header="0.31496062992125984" footer="0.31496062992125984"/>
  <pageSetup scale="57" orientation="landscape" r:id="rId1"/>
  <rowBreaks count="2" manualBreakCount="2">
    <brk id="43" max="6" man="1"/>
    <brk id="83" max="6"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7"/>
  <sheetViews>
    <sheetView topLeftCell="A46" zoomScaleSheetLayoutView="100" zoomScalePageLayoutView="125" workbookViewId="0">
      <selection activeCell="B66" sqref="B66"/>
    </sheetView>
  </sheetViews>
  <sheetFormatPr baseColWidth="10" defaultColWidth="10.85546875" defaultRowHeight="12.75" x14ac:dyDescent="0.2"/>
  <cols>
    <col min="1" max="1" width="7.42578125" style="172" bestFit="1" customWidth="1"/>
    <col min="2" max="2" width="83" style="173" customWidth="1"/>
    <col min="3" max="3" width="14.140625" style="420" customWidth="1"/>
    <col min="4" max="4" width="16.140625" style="174" customWidth="1"/>
    <col min="5" max="5" width="15.7109375" style="178" hidden="1" customWidth="1"/>
    <col min="6" max="6" width="20.28515625" style="178" hidden="1" customWidth="1"/>
    <col min="7" max="7" width="17.85546875" style="215" customWidth="1"/>
    <col min="8" max="8" width="14.85546875" style="215" customWidth="1"/>
    <col min="9" max="9" width="33.85546875" style="137" hidden="1" customWidth="1"/>
    <col min="10" max="10" width="13.42578125" style="137" bestFit="1" customWidth="1"/>
    <col min="11" max="11" width="11.5703125" style="137" bestFit="1" customWidth="1"/>
    <col min="12" max="16384" width="10.85546875" style="137"/>
  </cols>
  <sheetData>
    <row r="1" spans="1:9" x14ac:dyDescent="0.2">
      <c r="B1" s="213"/>
    </row>
    <row r="2" spans="1:9" hidden="1" x14ac:dyDescent="0.2">
      <c r="B2" s="213" t="s">
        <v>192</v>
      </c>
    </row>
    <row r="3" spans="1:9" hidden="1" x14ac:dyDescent="0.2">
      <c r="B3" s="213" t="s">
        <v>194</v>
      </c>
    </row>
    <row r="4" spans="1:9" hidden="1" x14ac:dyDescent="0.2">
      <c r="B4" s="214" t="s">
        <v>161</v>
      </c>
    </row>
    <row r="5" spans="1:9" hidden="1" x14ac:dyDescent="0.2">
      <c r="B5" s="213" t="s">
        <v>160</v>
      </c>
    </row>
    <row r="6" spans="1:9" hidden="1" x14ac:dyDescent="0.2">
      <c r="B6" s="213" t="s">
        <v>193</v>
      </c>
    </row>
    <row r="7" spans="1:9" ht="27" customHeight="1" x14ac:dyDescent="0.2">
      <c r="G7" s="294"/>
    </row>
    <row r="8" spans="1:9" ht="15" customHeight="1" x14ac:dyDescent="0.2">
      <c r="A8" s="542" t="s">
        <v>259</v>
      </c>
      <c r="B8" s="543"/>
      <c r="C8" s="543"/>
      <c r="D8" s="543"/>
      <c r="E8" s="543"/>
      <c r="F8" s="543"/>
      <c r="G8" s="543"/>
      <c r="H8" s="543"/>
    </row>
    <row r="9" spans="1:9" ht="25.5" x14ac:dyDescent="0.2">
      <c r="A9" s="538" t="s">
        <v>62</v>
      </c>
      <c r="B9" s="538"/>
      <c r="C9" s="421" t="s">
        <v>63</v>
      </c>
      <c r="D9" s="264" t="s">
        <v>64</v>
      </c>
      <c r="E9" s="273" t="s">
        <v>101</v>
      </c>
      <c r="F9" s="273" t="s">
        <v>61</v>
      </c>
      <c r="G9" s="274" t="s">
        <v>658</v>
      </c>
      <c r="H9" s="274"/>
    </row>
    <row r="10" spans="1:9" x14ac:dyDescent="0.2">
      <c r="A10" s="275"/>
      <c r="B10" s="272" t="s">
        <v>117</v>
      </c>
      <c r="C10" s="421"/>
      <c r="D10" s="264"/>
      <c r="E10" s="273"/>
      <c r="F10" s="273"/>
      <c r="G10" s="274"/>
      <c r="H10" s="274"/>
    </row>
    <row r="11" spans="1:9" ht="40.5" customHeight="1" x14ac:dyDescent="0.2">
      <c r="A11" s="276" t="s">
        <v>129</v>
      </c>
      <c r="B11" s="272" t="s">
        <v>170</v>
      </c>
      <c r="C11" s="422"/>
      <c r="D11" s="272"/>
      <c r="E11" s="273"/>
      <c r="F11" s="273"/>
      <c r="G11" s="277" t="s">
        <v>101</v>
      </c>
      <c r="H11" s="277" t="s">
        <v>41</v>
      </c>
      <c r="I11" s="423" t="s">
        <v>659</v>
      </c>
    </row>
    <row r="12" spans="1:9" x14ac:dyDescent="0.2">
      <c r="A12" s="158">
        <v>1</v>
      </c>
      <c r="B12" s="147" t="s">
        <v>127</v>
      </c>
      <c r="C12" s="424">
        <v>3</v>
      </c>
      <c r="D12" s="148" t="s">
        <v>111</v>
      </c>
      <c r="E12" s="181">
        <v>29700000</v>
      </c>
      <c r="F12" s="181">
        <f t="shared" ref="F12:F20" si="0">+E12*C12</f>
        <v>89100000</v>
      </c>
      <c r="G12" s="252">
        <v>19740000</v>
      </c>
      <c r="H12" s="217">
        <f>+G12*C12</f>
        <v>59220000</v>
      </c>
      <c r="I12" s="257" t="s">
        <v>602</v>
      </c>
    </row>
    <row r="13" spans="1:9" x14ac:dyDescent="0.2">
      <c r="A13" s="158">
        <v>2</v>
      </c>
      <c r="B13" s="147" t="s">
        <v>128</v>
      </c>
      <c r="C13" s="424">
        <v>4</v>
      </c>
      <c r="D13" s="148" t="s">
        <v>111</v>
      </c>
      <c r="E13" s="181">
        <v>29400000</v>
      </c>
      <c r="F13" s="181">
        <f t="shared" si="0"/>
        <v>117600000</v>
      </c>
      <c r="G13" s="252">
        <v>17640000</v>
      </c>
      <c r="H13" s="217">
        <f t="shared" ref="H13:H71" si="1">+G13*C13</f>
        <v>70560000</v>
      </c>
      <c r="I13" s="257" t="s">
        <v>602</v>
      </c>
    </row>
    <row r="14" spans="1:9" x14ac:dyDescent="0.2">
      <c r="A14" s="158">
        <v>3</v>
      </c>
      <c r="B14" s="147" t="s">
        <v>186</v>
      </c>
      <c r="C14" s="424">
        <v>5</v>
      </c>
      <c r="D14" s="148" t="s">
        <v>110</v>
      </c>
      <c r="E14" s="181">
        <v>7300000</v>
      </c>
      <c r="F14" s="181">
        <f t="shared" si="0"/>
        <v>36500000</v>
      </c>
      <c r="G14" s="252">
        <v>21329000</v>
      </c>
      <c r="H14" s="217">
        <f t="shared" si="1"/>
        <v>106645000</v>
      </c>
      <c r="I14" s="257" t="s">
        <v>607</v>
      </c>
    </row>
    <row r="15" spans="1:9" x14ac:dyDescent="0.2">
      <c r="A15" s="158">
        <v>4</v>
      </c>
      <c r="B15" s="147" t="s">
        <v>187</v>
      </c>
      <c r="C15" s="424">
        <v>5</v>
      </c>
      <c r="D15" s="148" t="s">
        <v>110</v>
      </c>
      <c r="E15" s="181">
        <v>5400000</v>
      </c>
      <c r="F15" s="181">
        <f t="shared" si="0"/>
        <v>27000000</v>
      </c>
      <c r="G15" s="252">
        <v>24570000</v>
      </c>
      <c r="H15" s="217">
        <f t="shared" si="1"/>
        <v>122850000</v>
      </c>
      <c r="I15" s="257" t="s">
        <v>607</v>
      </c>
    </row>
    <row r="16" spans="1:9" x14ac:dyDescent="0.2">
      <c r="A16" s="158">
        <v>5</v>
      </c>
      <c r="B16" s="147" t="s">
        <v>113</v>
      </c>
      <c r="C16" s="424">
        <v>4</v>
      </c>
      <c r="D16" s="148" t="s">
        <v>114</v>
      </c>
      <c r="E16" s="181">
        <v>21000000</v>
      </c>
      <c r="F16" s="181">
        <f t="shared" si="0"/>
        <v>84000000</v>
      </c>
      <c r="G16" s="252">
        <v>28560000</v>
      </c>
      <c r="H16" s="217">
        <f t="shared" si="1"/>
        <v>114240000</v>
      </c>
      <c r="I16" s="257" t="s">
        <v>660</v>
      </c>
    </row>
    <row r="17" spans="1:9" x14ac:dyDescent="0.2">
      <c r="A17" s="158">
        <v>6</v>
      </c>
      <c r="B17" s="147" t="s">
        <v>107</v>
      </c>
      <c r="C17" s="425">
        <v>16</v>
      </c>
      <c r="D17" s="148" t="s">
        <v>123</v>
      </c>
      <c r="E17" s="181">
        <v>14500000</v>
      </c>
      <c r="F17" s="181">
        <f t="shared" si="0"/>
        <v>232000000</v>
      </c>
      <c r="G17" s="252">
        <v>31467800</v>
      </c>
      <c r="H17" s="217">
        <f t="shared" si="1"/>
        <v>503484800</v>
      </c>
      <c r="I17" s="257" t="s">
        <v>611</v>
      </c>
    </row>
    <row r="18" spans="1:9" x14ac:dyDescent="0.2">
      <c r="A18" s="158">
        <v>7</v>
      </c>
      <c r="B18" s="147" t="s">
        <v>151</v>
      </c>
      <c r="C18" s="425">
        <v>2</v>
      </c>
      <c r="D18" s="148" t="s">
        <v>252</v>
      </c>
      <c r="E18" s="181">
        <v>15400000</v>
      </c>
      <c r="F18" s="181">
        <f t="shared" si="0"/>
        <v>30800000</v>
      </c>
      <c r="G18" s="252">
        <v>6715900</v>
      </c>
      <c r="H18" s="217">
        <f t="shared" si="1"/>
        <v>13431800</v>
      </c>
      <c r="I18" s="257" t="s">
        <v>614</v>
      </c>
    </row>
    <row r="19" spans="1:9" ht="13.5" thickBot="1" x14ac:dyDescent="0.25">
      <c r="A19" s="158">
        <v>8</v>
      </c>
      <c r="B19" s="147" t="s">
        <v>176</v>
      </c>
      <c r="C19" s="425">
        <v>2</v>
      </c>
      <c r="D19" s="148" t="s">
        <v>252</v>
      </c>
      <c r="E19" s="181">
        <v>21000000</v>
      </c>
      <c r="F19" s="181">
        <f t="shared" si="0"/>
        <v>42000000</v>
      </c>
      <c r="G19" s="252">
        <v>12901360</v>
      </c>
      <c r="H19" s="217">
        <f t="shared" si="1"/>
        <v>25802720</v>
      </c>
      <c r="I19" s="257" t="s">
        <v>614</v>
      </c>
    </row>
    <row r="20" spans="1:9" x14ac:dyDescent="0.2">
      <c r="A20" s="158">
        <v>9</v>
      </c>
      <c r="B20" s="147" t="s">
        <v>144</v>
      </c>
      <c r="C20" s="426">
        <v>8</v>
      </c>
      <c r="D20" s="147" t="s">
        <v>145</v>
      </c>
      <c r="E20" s="183">
        <v>5000000</v>
      </c>
      <c r="F20" s="181">
        <f t="shared" si="0"/>
        <v>40000000</v>
      </c>
      <c r="G20" s="252">
        <v>378000</v>
      </c>
      <c r="H20" s="217">
        <f t="shared" si="1"/>
        <v>3024000</v>
      </c>
      <c r="I20" s="257" t="s">
        <v>614</v>
      </c>
    </row>
    <row r="21" spans="1:9" x14ac:dyDescent="0.2">
      <c r="A21" s="266"/>
      <c r="B21" s="272" t="s">
        <v>256</v>
      </c>
      <c r="C21" s="422"/>
      <c r="D21" s="272"/>
      <c r="E21" s="280"/>
      <c r="F21" s="280"/>
      <c r="G21" s="281"/>
      <c r="H21" s="217">
        <f t="shared" si="1"/>
        <v>0</v>
      </c>
      <c r="I21" s="257"/>
    </row>
    <row r="22" spans="1:9" x14ac:dyDescent="0.2">
      <c r="A22" s="158">
        <v>1</v>
      </c>
      <c r="B22" s="156" t="s">
        <v>78</v>
      </c>
      <c r="C22" s="160">
        <v>1</v>
      </c>
      <c r="D22" s="159" t="s">
        <v>77</v>
      </c>
      <c r="E22" s="181">
        <v>650000</v>
      </c>
      <c r="F22" s="181">
        <f t="shared" ref="F22:F47" si="2">+E22*C22</f>
        <v>650000</v>
      </c>
      <c r="G22" s="217">
        <v>65650</v>
      </c>
      <c r="H22" s="217">
        <f t="shared" si="1"/>
        <v>65650</v>
      </c>
      <c r="I22" s="257" t="s">
        <v>560</v>
      </c>
    </row>
    <row r="23" spans="1:9" x14ac:dyDescent="0.2">
      <c r="A23" s="158">
        <f t="shared" ref="A23:A57" si="3">+A22+1</f>
        <v>2</v>
      </c>
      <c r="B23" s="156" t="s">
        <v>79</v>
      </c>
      <c r="C23" s="160">
        <v>5000</v>
      </c>
      <c r="D23" s="159" t="s">
        <v>77</v>
      </c>
      <c r="E23" s="181">
        <v>1300</v>
      </c>
      <c r="F23" s="181">
        <f t="shared" si="2"/>
        <v>6500000</v>
      </c>
      <c r="G23" s="217">
        <v>137</v>
      </c>
      <c r="H23" s="217">
        <f t="shared" si="1"/>
        <v>685000</v>
      </c>
      <c r="I23" s="257" t="s">
        <v>560</v>
      </c>
    </row>
    <row r="24" spans="1:9" x14ac:dyDescent="0.2">
      <c r="A24" s="158">
        <f t="shared" si="3"/>
        <v>3</v>
      </c>
      <c r="B24" s="156" t="s">
        <v>80</v>
      </c>
      <c r="C24" s="160">
        <v>1</v>
      </c>
      <c r="D24" s="159" t="s">
        <v>77</v>
      </c>
      <c r="E24" s="181">
        <v>2100000</v>
      </c>
      <c r="F24" s="181">
        <f t="shared" si="2"/>
        <v>2100000</v>
      </c>
      <c r="G24" s="217">
        <v>814000</v>
      </c>
      <c r="H24" s="217">
        <f t="shared" si="1"/>
        <v>814000</v>
      </c>
      <c r="I24" s="257"/>
    </row>
    <row r="25" spans="1:9" x14ac:dyDescent="0.2">
      <c r="A25" s="158">
        <f t="shared" si="3"/>
        <v>4</v>
      </c>
      <c r="B25" s="156" t="s">
        <v>81</v>
      </c>
      <c r="C25" s="160">
        <v>2</v>
      </c>
      <c r="D25" s="159" t="s">
        <v>77</v>
      </c>
      <c r="E25" s="181">
        <v>1500000</v>
      </c>
      <c r="F25" s="181">
        <f t="shared" si="2"/>
        <v>3000000</v>
      </c>
      <c r="G25" s="217">
        <v>570500</v>
      </c>
      <c r="H25" s="217">
        <f t="shared" si="1"/>
        <v>1141000</v>
      </c>
      <c r="I25" s="257"/>
    </row>
    <row r="26" spans="1:9" x14ac:dyDescent="0.2">
      <c r="A26" s="158">
        <f t="shared" si="3"/>
        <v>5</v>
      </c>
      <c r="B26" s="156" t="s">
        <v>82</v>
      </c>
      <c r="C26" s="160">
        <v>1</v>
      </c>
      <c r="D26" s="159" t="s">
        <v>77</v>
      </c>
      <c r="E26" s="181">
        <v>1400000</v>
      </c>
      <c r="F26" s="181">
        <f t="shared" si="2"/>
        <v>1400000</v>
      </c>
      <c r="G26" s="217">
        <v>360000</v>
      </c>
      <c r="H26" s="217">
        <f t="shared" si="1"/>
        <v>360000</v>
      </c>
      <c r="I26" s="257"/>
    </row>
    <row r="27" spans="1:9" x14ac:dyDescent="0.2">
      <c r="A27" s="158">
        <f t="shared" si="3"/>
        <v>6</v>
      </c>
      <c r="B27" s="156" t="s">
        <v>137</v>
      </c>
      <c r="C27" s="160">
        <v>1</v>
      </c>
      <c r="D27" s="159" t="s">
        <v>77</v>
      </c>
      <c r="E27" s="181">
        <v>600000</v>
      </c>
      <c r="F27" s="181">
        <f t="shared" si="2"/>
        <v>600000</v>
      </c>
      <c r="G27" s="217">
        <v>328900</v>
      </c>
      <c r="H27" s="217">
        <f t="shared" si="1"/>
        <v>328900</v>
      </c>
      <c r="I27" s="257"/>
    </row>
    <row r="28" spans="1:9" x14ac:dyDescent="0.2">
      <c r="A28" s="158">
        <f t="shared" si="3"/>
        <v>7</v>
      </c>
      <c r="B28" s="156" t="s">
        <v>138</v>
      </c>
      <c r="C28" s="160">
        <v>5000</v>
      </c>
      <c r="D28" s="159" t="s">
        <v>77</v>
      </c>
      <c r="E28" s="184">
        <v>310</v>
      </c>
      <c r="F28" s="181">
        <f t="shared" si="2"/>
        <v>1550000</v>
      </c>
      <c r="G28" s="217">
        <v>218</v>
      </c>
      <c r="H28" s="217">
        <f t="shared" si="1"/>
        <v>1090000</v>
      </c>
      <c r="I28" s="257"/>
    </row>
    <row r="29" spans="1:9" x14ac:dyDescent="0.2">
      <c r="A29" s="158">
        <f t="shared" si="3"/>
        <v>8</v>
      </c>
      <c r="B29" s="156" t="s">
        <v>139</v>
      </c>
      <c r="C29" s="160">
        <v>1</v>
      </c>
      <c r="D29" s="159" t="s">
        <v>77</v>
      </c>
      <c r="E29" s="181">
        <v>900000</v>
      </c>
      <c r="F29" s="181">
        <f t="shared" si="2"/>
        <v>900000</v>
      </c>
      <c r="G29" s="217">
        <v>575900</v>
      </c>
      <c r="H29" s="217">
        <f t="shared" si="1"/>
        <v>575900</v>
      </c>
      <c r="I29" s="257"/>
    </row>
    <row r="30" spans="1:9" x14ac:dyDescent="0.2">
      <c r="A30" s="158">
        <f t="shared" si="3"/>
        <v>9</v>
      </c>
      <c r="B30" s="156" t="s">
        <v>303</v>
      </c>
      <c r="C30" s="160">
        <v>10000</v>
      </c>
      <c r="D30" s="159" t="s">
        <v>77</v>
      </c>
      <c r="E30" s="184">
        <v>360</v>
      </c>
      <c r="F30" s="181">
        <f t="shared" si="2"/>
        <v>3600000</v>
      </c>
      <c r="G30" s="217">
        <v>267</v>
      </c>
      <c r="H30" s="217">
        <f t="shared" si="1"/>
        <v>2670000</v>
      </c>
      <c r="I30" s="257"/>
    </row>
    <row r="31" spans="1:9" x14ac:dyDescent="0.2">
      <c r="A31" s="158">
        <f t="shared" si="3"/>
        <v>10</v>
      </c>
      <c r="B31" s="156" t="s">
        <v>304</v>
      </c>
      <c r="C31" s="160">
        <v>1</v>
      </c>
      <c r="D31" s="159" t="s">
        <v>77</v>
      </c>
      <c r="E31" s="181">
        <v>1200000</v>
      </c>
      <c r="F31" s="181">
        <f t="shared" si="2"/>
        <v>1200000</v>
      </c>
      <c r="G31" s="217">
        <v>850000</v>
      </c>
      <c r="H31" s="217">
        <f t="shared" si="1"/>
        <v>850000</v>
      </c>
      <c r="I31" s="257"/>
    </row>
    <row r="32" spans="1:9" x14ac:dyDescent="0.2">
      <c r="A32" s="158">
        <f t="shared" si="3"/>
        <v>11</v>
      </c>
      <c r="B32" s="156" t="s">
        <v>142</v>
      </c>
      <c r="C32" s="160">
        <v>5000</v>
      </c>
      <c r="D32" s="159" t="s">
        <v>77</v>
      </c>
      <c r="E32" s="184">
        <v>360</v>
      </c>
      <c r="F32" s="181">
        <f t="shared" si="2"/>
        <v>1800000</v>
      </c>
      <c r="G32" s="217">
        <v>270</v>
      </c>
      <c r="H32" s="217">
        <f t="shared" si="1"/>
        <v>1350000</v>
      </c>
      <c r="I32" s="257"/>
    </row>
    <row r="33" spans="1:9" x14ac:dyDescent="0.2">
      <c r="A33" s="158">
        <f t="shared" si="3"/>
        <v>12</v>
      </c>
      <c r="B33" s="156" t="s">
        <v>133</v>
      </c>
      <c r="C33" s="160">
        <v>12500</v>
      </c>
      <c r="D33" s="159" t="s">
        <v>77</v>
      </c>
      <c r="E33" s="181">
        <v>3500</v>
      </c>
      <c r="F33" s="181">
        <f t="shared" si="2"/>
        <v>43750000</v>
      </c>
      <c r="G33" s="217">
        <v>1160</v>
      </c>
      <c r="H33" s="217">
        <f t="shared" si="1"/>
        <v>14500000</v>
      </c>
      <c r="I33" s="257"/>
    </row>
    <row r="34" spans="1:9" ht="13.5" customHeight="1" x14ac:dyDescent="0.2">
      <c r="A34" s="158">
        <f t="shared" si="3"/>
        <v>13</v>
      </c>
      <c r="B34" s="156" t="s">
        <v>188</v>
      </c>
      <c r="C34" s="160">
        <v>100</v>
      </c>
      <c r="D34" s="159" t="s">
        <v>77</v>
      </c>
      <c r="E34" s="181">
        <v>1800</v>
      </c>
      <c r="F34" s="181">
        <f t="shared" si="2"/>
        <v>180000</v>
      </c>
      <c r="G34" s="217">
        <v>147500</v>
      </c>
      <c r="H34" s="217">
        <f t="shared" si="1"/>
        <v>14750000</v>
      </c>
      <c r="I34" s="257"/>
    </row>
    <row r="35" spans="1:9" x14ac:dyDescent="0.2">
      <c r="A35" s="158">
        <f t="shared" si="3"/>
        <v>14</v>
      </c>
      <c r="B35" s="156" t="s">
        <v>124</v>
      </c>
      <c r="C35" s="160">
        <v>1</v>
      </c>
      <c r="D35" s="159" t="s">
        <v>77</v>
      </c>
      <c r="E35" s="181">
        <v>800000</v>
      </c>
      <c r="F35" s="181">
        <f t="shared" si="2"/>
        <v>800000</v>
      </c>
      <c r="G35" s="217">
        <v>226900</v>
      </c>
      <c r="H35" s="217">
        <f t="shared" si="1"/>
        <v>226900</v>
      </c>
      <c r="I35" s="257"/>
    </row>
    <row r="36" spans="1:9" x14ac:dyDescent="0.2">
      <c r="A36" s="158">
        <f t="shared" si="3"/>
        <v>15</v>
      </c>
      <c r="B36" s="161" t="s">
        <v>125</v>
      </c>
      <c r="C36" s="160">
        <v>215</v>
      </c>
      <c r="D36" s="159" t="s">
        <v>77</v>
      </c>
      <c r="E36" s="181">
        <v>5400</v>
      </c>
      <c r="F36" s="181">
        <f t="shared" si="2"/>
        <v>1161000</v>
      </c>
      <c r="G36" s="217">
        <v>12700</v>
      </c>
      <c r="H36" s="217">
        <f t="shared" si="1"/>
        <v>2730500</v>
      </c>
      <c r="I36" s="257"/>
    </row>
    <row r="37" spans="1:9" x14ac:dyDescent="0.2">
      <c r="A37" s="158">
        <f t="shared" si="3"/>
        <v>16</v>
      </c>
      <c r="B37" s="161" t="s">
        <v>126</v>
      </c>
      <c r="C37" s="160">
        <v>1</v>
      </c>
      <c r="D37" s="159" t="s">
        <v>77</v>
      </c>
      <c r="E37" s="181">
        <v>775000</v>
      </c>
      <c r="F37" s="181">
        <f t="shared" si="2"/>
        <v>775000</v>
      </c>
      <c r="G37" s="217">
        <v>415090</v>
      </c>
      <c r="H37" s="217">
        <f t="shared" si="1"/>
        <v>415090</v>
      </c>
      <c r="I37" s="257"/>
    </row>
    <row r="38" spans="1:9" x14ac:dyDescent="0.2">
      <c r="A38" s="158">
        <f t="shared" si="3"/>
        <v>17</v>
      </c>
      <c r="B38" s="161" t="s">
        <v>134</v>
      </c>
      <c r="C38" s="160">
        <v>498</v>
      </c>
      <c r="D38" s="159" t="s">
        <v>77</v>
      </c>
      <c r="E38" s="181">
        <v>4000</v>
      </c>
      <c r="F38" s="181">
        <f t="shared" si="2"/>
        <v>1992000</v>
      </c>
      <c r="G38" s="217">
        <v>11050</v>
      </c>
      <c r="H38" s="217">
        <f t="shared" si="1"/>
        <v>5502900</v>
      </c>
      <c r="I38" s="257"/>
    </row>
    <row r="39" spans="1:9" x14ac:dyDescent="0.2">
      <c r="A39" s="158">
        <f t="shared" si="3"/>
        <v>18</v>
      </c>
      <c r="B39" s="156" t="s">
        <v>83</v>
      </c>
      <c r="C39" s="160">
        <v>5</v>
      </c>
      <c r="D39" s="159" t="s">
        <v>77</v>
      </c>
      <c r="E39" s="181">
        <v>650000</v>
      </c>
      <c r="F39" s="181">
        <f t="shared" si="2"/>
        <v>3250000</v>
      </c>
      <c r="G39" s="217">
        <v>355000</v>
      </c>
      <c r="H39" s="217">
        <f t="shared" si="1"/>
        <v>1775000</v>
      </c>
      <c r="I39" s="257"/>
    </row>
    <row r="40" spans="1:9" x14ac:dyDescent="0.2">
      <c r="A40" s="158">
        <f t="shared" si="3"/>
        <v>19</v>
      </c>
      <c r="B40" s="156" t="s">
        <v>135</v>
      </c>
      <c r="C40" s="427">
        <v>5</v>
      </c>
      <c r="D40" s="159" t="s">
        <v>77</v>
      </c>
      <c r="E40" s="181">
        <v>290000</v>
      </c>
      <c r="F40" s="181">
        <f t="shared" si="2"/>
        <v>1450000</v>
      </c>
      <c r="G40" s="217">
        <v>252000</v>
      </c>
      <c r="H40" s="217">
        <f t="shared" si="1"/>
        <v>1260000</v>
      </c>
      <c r="I40" s="257"/>
    </row>
    <row r="41" spans="1:9" x14ac:dyDescent="0.2">
      <c r="A41" s="158">
        <f t="shared" si="3"/>
        <v>20</v>
      </c>
      <c r="B41" s="156" t="s">
        <v>84</v>
      </c>
      <c r="C41" s="160">
        <v>1</v>
      </c>
      <c r="D41" s="159" t="s">
        <v>77</v>
      </c>
      <c r="E41" s="181">
        <v>650000</v>
      </c>
      <c r="F41" s="181">
        <f t="shared" si="2"/>
        <v>650000</v>
      </c>
      <c r="G41" s="217">
        <v>161995</v>
      </c>
      <c r="H41" s="217">
        <f t="shared" si="1"/>
        <v>161995</v>
      </c>
      <c r="I41" s="257"/>
    </row>
    <row r="42" spans="1:9" x14ac:dyDescent="0.2">
      <c r="A42" s="158">
        <f t="shared" si="3"/>
        <v>21</v>
      </c>
      <c r="B42" s="156" t="s">
        <v>85</v>
      </c>
      <c r="C42" s="160">
        <v>1</v>
      </c>
      <c r="D42" s="159" t="s">
        <v>77</v>
      </c>
      <c r="E42" s="181">
        <v>390000</v>
      </c>
      <c r="F42" s="181">
        <f t="shared" si="2"/>
        <v>390000</v>
      </c>
      <c r="G42" s="217">
        <v>973000</v>
      </c>
      <c r="H42" s="217">
        <f t="shared" si="1"/>
        <v>973000</v>
      </c>
      <c r="I42" s="257"/>
    </row>
    <row r="43" spans="1:9" x14ac:dyDescent="0.2">
      <c r="A43" s="158">
        <f t="shared" si="3"/>
        <v>22</v>
      </c>
      <c r="B43" s="156" t="s">
        <v>86</v>
      </c>
      <c r="C43" s="160">
        <v>2</v>
      </c>
      <c r="D43" s="159" t="s">
        <v>77</v>
      </c>
      <c r="E43" s="181">
        <v>730000</v>
      </c>
      <c r="F43" s="181">
        <f t="shared" si="2"/>
        <v>1460000</v>
      </c>
      <c r="G43" s="217">
        <v>511980</v>
      </c>
      <c r="H43" s="217">
        <f t="shared" si="1"/>
        <v>1023960</v>
      </c>
      <c r="I43" s="257"/>
    </row>
    <row r="44" spans="1:9" x14ac:dyDescent="0.2">
      <c r="A44" s="158">
        <f t="shared" si="3"/>
        <v>23</v>
      </c>
      <c r="B44" s="156" t="s">
        <v>87</v>
      </c>
      <c r="C44" s="160">
        <v>1</v>
      </c>
      <c r="D44" s="159" t="s">
        <v>77</v>
      </c>
      <c r="E44" s="181">
        <v>280000</v>
      </c>
      <c r="F44" s="181">
        <f t="shared" si="2"/>
        <v>280000</v>
      </c>
      <c r="G44" s="217">
        <v>1540000</v>
      </c>
      <c r="H44" s="217">
        <f t="shared" si="1"/>
        <v>1540000</v>
      </c>
      <c r="I44" s="257"/>
    </row>
    <row r="45" spans="1:9" x14ac:dyDescent="0.2">
      <c r="A45" s="158">
        <f t="shared" si="3"/>
        <v>24</v>
      </c>
      <c r="B45" s="156" t="s">
        <v>88</v>
      </c>
      <c r="C45" s="160">
        <v>1</v>
      </c>
      <c r="D45" s="159" t="s">
        <v>77</v>
      </c>
      <c r="E45" s="181">
        <v>730000</v>
      </c>
      <c r="F45" s="181">
        <f t="shared" si="2"/>
        <v>730000</v>
      </c>
      <c r="G45" s="217">
        <v>511980</v>
      </c>
      <c r="H45" s="217">
        <f t="shared" si="1"/>
        <v>511980</v>
      </c>
      <c r="I45" s="257"/>
    </row>
    <row r="46" spans="1:9" x14ac:dyDescent="0.2">
      <c r="A46" s="158">
        <f t="shared" si="3"/>
        <v>25</v>
      </c>
      <c r="B46" s="156" t="s">
        <v>89</v>
      </c>
      <c r="C46" s="160">
        <v>2</v>
      </c>
      <c r="D46" s="159" t="s">
        <v>77</v>
      </c>
      <c r="E46" s="181">
        <v>540000</v>
      </c>
      <c r="F46" s="181">
        <f t="shared" si="2"/>
        <v>1080000</v>
      </c>
      <c r="G46" s="217">
        <v>1750000</v>
      </c>
      <c r="H46" s="217">
        <f t="shared" si="1"/>
        <v>3500000</v>
      </c>
      <c r="I46" s="257"/>
    </row>
    <row r="47" spans="1:9" x14ac:dyDescent="0.2">
      <c r="A47" s="158">
        <f>+A46+1</f>
        <v>26</v>
      </c>
      <c r="B47" s="156" t="s">
        <v>90</v>
      </c>
      <c r="C47" s="160">
        <v>1</v>
      </c>
      <c r="D47" s="159" t="s">
        <v>77</v>
      </c>
      <c r="E47" s="181">
        <v>790000</v>
      </c>
      <c r="F47" s="181">
        <f t="shared" si="2"/>
        <v>790000</v>
      </c>
      <c r="G47" s="217">
        <v>675780</v>
      </c>
      <c r="H47" s="217">
        <f t="shared" si="1"/>
        <v>675780</v>
      </c>
      <c r="I47" s="257"/>
    </row>
    <row r="48" spans="1:9" x14ac:dyDescent="0.2">
      <c r="A48" s="158">
        <f t="shared" si="3"/>
        <v>27</v>
      </c>
      <c r="B48" s="156" t="s">
        <v>91</v>
      </c>
      <c r="C48" s="160">
        <v>1</v>
      </c>
      <c r="D48" s="159" t="s">
        <v>77</v>
      </c>
      <c r="E48" s="181" t="s">
        <v>190</v>
      </c>
      <c r="F48" s="181" t="s">
        <v>190</v>
      </c>
      <c r="G48" s="217">
        <v>2380000</v>
      </c>
      <c r="H48" s="217">
        <f t="shared" si="1"/>
        <v>2380000</v>
      </c>
      <c r="I48" s="257"/>
    </row>
    <row r="49" spans="1:9" x14ac:dyDescent="0.2">
      <c r="A49" s="158">
        <f t="shared" si="3"/>
        <v>28</v>
      </c>
      <c r="B49" s="156" t="s">
        <v>92</v>
      </c>
      <c r="C49" s="160">
        <v>1</v>
      </c>
      <c r="D49" s="159" t="s">
        <v>77</v>
      </c>
      <c r="E49" s="181">
        <v>920000</v>
      </c>
      <c r="F49" s="181">
        <f>+E49*C49</f>
        <v>920000</v>
      </c>
      <c r="G49" s="217">
        <v>675780</v>
      </c>
      <c r="H49" s="217">
        <f t="shared" si="1"/>
        <v>675780</v>
      </c>
      <c r="I49" s="257"/>
    </row>
    <row r="50" spans="1:9" x14ac:dyDescent="0.2">
      <c r="A50" s="158">
        <f t="shared" si="3"/>
        <v>29</v>
      </c>
      <c r="B50" s="156" t="s">
        <v>93</v>
      </c>
      <c r="C50" s="160">
        <v>1</v>
      </c>
      <c r="D50" s="159" t="s">
        <v>77</v>
      </c>
      <c r="E50" s="181" t="s">
        <v>190</v>
      </c>
      <c r="F50" s="181" t="s">
        <v>190</v>
      </c>
      <c r="G50" s="217">
        <v>4480000</v>
      </c>
      <c r="H50" s="217">
        <f t="shared" si="1"/>
        <v>4480000</v>
      </c>
      <c r="I50" s="257"/>
    </row>
    <row r="51" spans="1:9" x14ac:dyDescent="0.2">
      <c r="A51" s="158">
        <f t="shared" si="3"/>
        <v>30</v>
      </c>
      <c r="B51" s="156" t="s">
        <v>94</v>
      </c>
      <c r="C51" s="160">
        <v>2</v>
      </c>
      <c r="D51" s="159" t="s">
        <v>77</v>
      </c>
      <c r="E51" s="181">
        <v>920000</v>
      </c>
      <c r="F51" s="181">
        <f>+E51*C51</f>
        <v>1840000</v>
      </c>
      <c r="G51" s="217">
        <v>675780</v>
      </c>
      <c r="H51" s="217">
        <f t="shared" si="1"/>
        <v>1351560</v>
      </c>
      <c r="I51" s="257"/>
    </row>
    <row r="52" spans="1:9" x14ac:dyDescent="0.2">
      <c r="A52" s="158">
        <f t="shared" si="3"/>
        <v>31</v>
      </c>
      <c r="B52" s="156" t="s">
        <v>95</v>
      </c>
      <c r="C52" s="160">
        <v>2</v>
      </c>
      <c r="D52" s="159" t="s">
        <v>77</v>
      </c>
      <c r="E52" s="181" t="s">
        <v>190</v>
      </c>
      <c r="F52" s="181" t="s">
        <v>190</v>
      </c>
      <c r="G52" s="217">
        <v>4760000</v>
      </c>
      <c r="H52" s="217">
        <f t="shared" si="1"/>
        <v>9520000</v>
      </c>
      <c r="I52" s="257"/>
    </row>
    <row r="53" spans="1:9" hidden="1" x14ac:dyDescent="0.2">
      <c r="A53" s="158">
        <f t="shared" si="3"/>
        <v>32</v>
      </c>
      <c r="B53" s="156" t="s">
        <v>96</v>
      </c>
      <c r="C53" s="160">
        <v>1</v>
      </c>
      <c r="D53" s="159" t="s">
        <v>77</v>
      </c>
      <c r="E53" s="181"/>
      <c r="F53" s="181">
        <f t="shared" ref="F53:F58" si="4">+E53*C53</f>
        <v>0</v>
      </c>
      <c r="G53" s="217">
        <v>0</v>
      </c>
      <c r="H53" s="217">
        <f t="shared" si="1"/>
        <v>0</v>
      </c>
      <c r="I53" s="257"/>
    </row>
    <row r="54" spans="1:9" hidden="1" x14ac:dyDescent="0.2">
      <c r="A54" s="158">
        <f t="shared" si="3"/>
        <v>33</v>
      </c>
      <c r="B54" s="156" t="s">
        <v>97</v>
      </c>
      <c r="C54" s="160">
        <v>1</v>
      </c>
      <c r="D54" s="159" t="s">
        <v>77</v>
      </c>
      <c r="E54" s="181"/>
      <c r="F54" s="181">
        <f t="shared" si="4"/>
        <v>0</v>
      </c>
      <c r="G54" s="217">
        <v>0</v>
      </c>
      <c r="H54" s="217">
        <f t="shared" si="1"/>
        <v>0</v>
      </c>
      <c r="I54" s="257"/>
    </row>
    <row r="55" spans="1:9" hidden="1" x14ac:dyDescent="0.2">
      <c r="A55" s="158">
        <f t="shared" si="3"/>
        <v>34</v>
      </c>
      <c r="B55" s="156" t="s">
        <v>98</v>
      </c>
      <c r="C55" s="160">
        <v>1</v>
      </c>
      <c r="D55" s="159" t="s">
        <v>77</v>
      </c>
      <c r="E55" s="181"/>
      <c r="F55" s="181">
        <f t="shared" si="4"/>
        <v>0</v>
      </c>
      <c r="G55" s="217">
        <v>0</v>
      </c>
      <c r="H55" s="217">
        <f t="shared" si="1"/>
        <v>0</v>
      </c>
      <c r="I55" s="257"/>
    </row>
    <row r="56" spans="1:9" hidden="1" x14ac:dyDescent="0.2">
      <c r="A56" s="158">
        <f t="shared" si="3"/>
        <v>35</v>
      </c>
      <c r="B56" s="156" t="s">
        <v>99</v>
      </c>
      <c r="C56" s="160">
        <v>1</v>
      </c>
      <c r="D56" s="159" t="s">
        <v>77</v>
      </c>
      <c r="E56" s="181"/>
      <c r="F56" s="181">
        <f t="shared" si="4"/>
        <v>0</v>
      </c>
      <c r="G56" s="217">
        <v>0</v>
      </c>
      <c r="H56" s="217">
        <f t="shared" si="1"/>
        <v>0</v>
      </c>
      <c r="I56" s="257"/>
    </row>
    <row r="57" spans="1:9" hidden="1" x14ac:dyDescent="0.2">
      <c r="A57" s="158">
        <f t="shared" si="3"/>
        <v>36</v>
      </c>
      <c r="B57" s="156" t="s">
        <v>100</v>
      </c>
      <c r="C57" s="160">
        <v>1</v>
      </c>
      <c r="D57" s="159" t="s">
        <v>77</v>
      </c>
      <c r="E57" s="181"/>
      <c r="F57" s="181">
        <f t="shared" si="4"/>
        <v>0</v>
      </c>
      <c r="G57" s="217">
        <v>0</v>
      </c>
      <c r="H57" s="217">
        <f t="shared" si="1"/>
        <v>0</v>
      </c>
      <c r="I57" s="257"/>
    </row>
    <row r="58" spans="1:9" x14ac:dyDescent="0.2">
      <c r="A58" s="158">
        <v>32</v>
      </c>
      <c r="B58" s="156" t="s">
        <v>155</v>
      </c>
      <c r="C58" s="160">
        <v>12500</v>
      </c>
      <c r="D58" s="159" t="s">
        <v>77</v>
      </c>
      <c r="E58" s="181">
        <v>3200</v>
      </c>
      <c r="F58" s="181">
        <f t="shared" si="4"/>
        <v>40000000</v>
      </c>
      <c r="G58" s="217">
        <v>4900</v>
      </c>
      <c r="H58" s="217">
        <f t="shared" si="1"/>
        <v>61250000</v>
      </c>
      <c r="I58" s="257"/>
    </row>
    <row r="59" spans="1:9" x14ac:dyDescent="0.2">
      <c r="A59" s="271"/>
      <c r="B59" s="539" t="s">
        <v>257</v>
      </c>
      <c r="C59" s="540"/>
      <c r="D59" s="540"/>
      <c r="E59" s="540"/>
      <c r="F59" s="541"/>
      <c r="G59" s="279"/>
      <c r="H59" s="217">
        <f t="shared" si="1"/>
        <v>0</v>
      </c>
      <c r="I59" s="257"/>
    </row>
    <row r="60" spans="1:9" x14ac:dyDescent="0.2">
      <c r="A60" s="158">
        <v>1</v>
      </c>
      <c r="B60" s="156" t="s">
        <v>163</v>
      </c>
      <c r="C60" s="160">
        <v>1</v>
      </c>
      <c r="D60" s="159" t="s">
        <v>77</v>
      </c>
      <c r="E60" s="181">
        <v>1200000</v>
      </c>
      <c r="F60" s="181">
        <v>1200000</v>
      </c>
      <c r="G60" s="252">
        <v>476050</v>
      </c>
      <c r="H60" s="217">
        <f t="shared" si="1"/>
        <v>476050</v>
      </c>
      <c r="I60" s="257"/>
    </row>
    <row r="61" spans="1:9" x14ac:dyDescent="0.2">
      <c r="A61" s="158">
        <v>2</v>
      </c>
      <c r="B61" s="156" t="s">
        <v>164</v>
      </c>
      <c r="C61" s="160">
        <v>12500</v>
      </c>
      <c r="D61" s="159" t="s">
        <v>77</v>
      </c>
      <c r="E61" s="181">
        <v>270</v>
      </c>
      <c r="F61" s="181">
        <f>+E61*C61</f>
        <v>3375000</v>
      </c>
      <c r="G61" s="252">
        <v>605</v>
      </c>
      <c r="H61" s="217">
        <f t="shared" si="1"/>
        <v>7562500</v>
      </c>
      <c r="I61" s="257"/>
    </row>
    <row r="62" spans="1:9" ht="25.5" x14ac:dyDescent="0.2">
      <c r="A62" s="158">
        <v>3</v>
      </c>
      <c r="B62" s="156" t="s">
        <v>167</v>
      </c>
      <c r="C62" s="160">
        <v>1</v>
      </c>
      <c r="D62" s="159" t="s">
        <v>77</v>
      </c>
      <c r="E62" s="181">
        <v>2500000</v>
      </c>
      <c r="F62" s="181">
        <v>2500000</v>
      </c>
      <c r="G62" s="252">
        <v>760725</v>
      </c>
      <c r="H62" s="217">
        <f t="shared" si="1"/>
        <v>760725</v>
      </c>
      <c r="I62" s="257"/>
    </row>
    <row r="63" spans="1:9" ht="25.5" x14ac:dyDescent="0.2">
      <c r="A63" s="158">
        <v>4</v>
      </c>
      <c r="B63" s="156" t="s">
        <v>168</v>
      </c>
      <c r="C63" s="160">
        <v>12500</v>
      </c>
      <c r="D63" s="159" t="s">
        <v>77</v>
      </c>
      <c r="E63" s="181">
        <v>2800</v>
      </c>
      <c r="F63" s="181">
        <f>+E63*C63</f>
        <v>35000000</v>
      </c>
      <c r="G63" s="252">
        <v>372</v>
      </c>
      <c r="H63" s="217">
        <f t="shared" si="1"/>
        <v>4650000</v>
      </c>
      <c r="I63" s="257"/>
    </row>
    <row r="64" spans="1:9" x14ac:dyDescent="0.2">
      <c r="A64" s="271"/>
      <c r="B64" s="272" t="s">
        <v>258</v>
      </c>
      <c r="C64" s="422"/>
      <c r="D64" s="272"/>
      <c r="E64" s="273"/>
      <c r="F64" s="273"/>
      <c r="G64" s="281"/>
      <c r="H64" s="217">
        <f t="shared" si="1"/>
        <v>0</v>
      </c>
      <c r="I64" s="257"/>
    </row>
    <row r="65" spans="1:9" x14ac:dyDescent="0.2">
      <c r="A65" s="158">
        <v>1</v>
      </c>
      <c r="B65" s="156" t="s">
        <v>253</v>
      </c>
      <c r="C65" s="160">
        <v>1</v>
      </c>
      <c r="D65" s="159" t="s">
        <v>106</v>
      </c>
      <c r="E65" s="181">
        <v>3200000</v>
      </c>
      <c r="F65" s="181">
        <f>+E65*C65</f>
        <v>3200000</v>
      </c>
      <c r="G65" s="252">
        <v>21890000</v>
      </c>
      <c r="H65" s="217">
        <f t="shared" si="1"/>
        <v>21890000</v>
      </c>
      <c r="I65" s="257"/>
    </row>
    <row r="66" spans="1:9" x14ac:dyDescent="0.2">
      <c r="A66" s="158">
        <v>2</v>
      </c>
      <c r="B66" s="156" t="s">
        <v>665</v>
      </c>
      <c r="C66" s="160">
        <v>1</v>
      </c>
      <c r="D66" s="159" t="s">
        <v>119</v>
      </c>
      <c r="E66" s="181">
        <v>15600000</v>
      </c>
      <c r="F66" s="181">
        <f>+E66*C66</f>
        <v>15600000</v>
      </c>
      <c r="G66" s="252">
        <v>49000000</v>
      </c>
      <c r="H66" s="217">
        <f t="shared" si="1"/>
        <v>49000000</v>
      </c>
      <c r="I66" s="257"/>
    </row>
    <row r="67" spans="1:9" x14ac:dyDescent="0.2">
      <c r="A67" s="158">
        <v>3</v>
      </c>
      <c r="B67" s="156" t="s">
        <v>120</v>
      </c>
      <c r="C67" s="160">
        <v>4000</v>
      </c>
      <c r="D67" s="159" t="s">
        <v>108</v>
      </c>
      <c r="E67" s="181">
        <v>900</v>
      </c>
      <c r="F67" s="181">
        <f>+E67*C67</f>
        <v>3600000</v>
      </c>
      <c r="G67" s="252">
        <v>3000</v>
      </c>
      <c r="H67" s="217">
        <f t="shared" si="1"/>
        <v>12000000</v>
      </c>
      <c r="I67" s="257"/>
    </row>
    <row r="68" spans="1:9" x14ac:dyDescent="0.2">
      <c r="A68" s="266"/>
      <c r="B68" s="272" t="s">
        <v>254</v>
      </c>
      <c r="C68" s="428"/>
      <c r="D68" s="265"/>
      <c r="E68" s="268"/>
      <c r="F68" s="268"/>
      <c r="G68" s="279"/>
      <c r="H68" s="217">
        <f t="shared" si="1"/>
        <v>0</v>
      </c>
      <c r="I68" s="257"/>
    </row>
    <row r="69" spans="1:9" x14ac:dyDescent="0.2">
      <c r="A69" s="146">
        <v>1</v>
      </c>
      <c r="B69" s="147" t="s">
        <v>162</v>
      </c>
      <c r="C69" s="427">
        <v>1</v>
      </c>
      <c r="D69" s="166" t="s">
        <v>77</v>
      </c>
      <c r="E69" s="184">
        <v>100000000</v>
      </c>
      <c r="F69" s="181">
        <v>100000000</v>
      </c>
      <c r="G69" s="217">
        <v>95500000</v>
      </c>
      <c r="H69" s="217">
        <f t="shared" si="1"/>
        <v>95500000</v>
      </c>
      <c r="I69" s="257"/>
    </row>
    <row r="70" spans="1:9" x14ac:dyDescent="0.2">
      <c r="A70" s="275"/>
      <c r="B70" s="283" t="s">
        <v>255</v>
      </c>
      <c r="C70" s="429"/>
      <c r="D70" s="283"/>
      <c r="E70" s="273"/>
      <c r="F70" s="273"/>
      <c r="G70" s="281"/>
      <c r="H70" s="217">
        <f t="shared" si="1"/>
        <v>0</v>
      </c>
      <c r="I70" s="257"/>
    </row>
    <row r="71" spans="1:9" x14ac:dyDescent="0.2">
      <c r="A71" s="146">
        <v>1</v>
      </c>
      <c r="B71" s="156" t="s">
        <v>103</v>
      </c>
      <c r="C71" s="160">
        <v>10</v>
      </c>
      <c r="D71" s="154" t="s">
        <v>105</v>
      </c>
      <c r="E71" s="184">
        <v>35000000</v>
      </c>
      <c r="F71" s="181">
        <f>C71*E71</f>
        <v>350000000</v>
      </c>
      <c r="G71" s="252">
        <v>8690000</v>
      </c>
      <c r="H71" s="217">
        <f t="shared" si="1"/>
        <v>86900000</v>
      </c>
      <c r="I71" s="257"/>
    </row>
    <row r="72" spans="1:9" x14ac:dyDescent="0.2">
      <c r="A72" s="284"/>
      <c r="B72" s="283" t="s">
        <v>245</v>
      </c>
      <c r="C72" s="430"/>
      <c r="D72" s="264"/>
      <c r="E72" s="286"/>
      <c r="F72" s="286"/>
      <c r="G72" s="281">
        <f>+SUM(G12:G71)</f>
        <v>363711249</v>
      </c>
      <c r="H72" s="281">
        <f t="shared" ref="H72:I72" si="5">+SUM(H12:H71)</f>
        <v>1437132490</v>
      </c>
      <c r="I72" s="281">
        <f t="shared" si="5"/>
        <v>0</v>
      </c>
    </row>
    <row r="73" spans="1:9" hidden="1" x14ac:dyDescent="0.2">
      <c r="A73" s="270"/>
      <c r="B73" s="287" t="s">
        <v>244</v>
      </c>
      <c r="C73" s="431"/>
      <c r="D73" s="287"/>
      <c r="E73" s="268"/>
      <c r="F73" s="268"/>
      <c r="G73" s="279">
        <f>+[3]C01_INICIAL!F88</f>
        <v>0</v>
      </c>
      <c r="H73" s="279"/>
    </row>
    <row r="74" spans="1:9" hidden="1" x14ac:dyDescent="0.2">
      <c r="A74" s="288"/>
      <c r="B74" s="282" t="s">
        <v>246</v>
      </c>
      <c r="C74" s="432">
        <v>10</v>
      </c>
      <c r="D74" s="269" t="s">
        <v>105</v>
      </c>
      <c r="E74" s="290"/>
      <c r="F74" s="290"/>
      <c r="G74" s="291" t="e">
        <f>+(#REF!*0.1)</f>
        <v>#REF!</v>
      </c>
      <c r="H74" s="279"/>
    </row>
    <row r="75" spans="1:9" x14ac:dyDescent="0.2">
      <c r="A75" s="284"/>
      <c r="B75" s="283" t="s">
        <v>248</v>
      </c>
      <c r="C75" s="430"/>
      <c r="D75" s="264"/>
      <c r="E75" s="286"/>
      <c r="F75" s="286"/>
      <c r="G75" s="292"/>
      <c r="H75" s="281">
        <f>+H72/1.16</f>
        <v>1238907318.9655173</v>
      </c>
    </row>
    <row r="76" spans="1:9" x14ac:dyDescent="0.2">
      <c r="A76" s="288"/>
      <c r="B76" s="282" t="s">
        <v>661</v>
      </c>
      <c r="C76" s="432">
        <v>10</v>
      </c>
      <c r="D76" s="269"/>
      <c r="E76" s="290"/>
      <c r="F76" s="290"/>
      <c r="G76" s="433">
        <v>5000000</v>
      </c>
      <c r="H76" s="279">
        <f>C76*G76</f>
        <v>50000000</v>
      </c>
    </row>
    <row r="77" spans="1:9" x14ac:dyDescent="0.2">
      <c r="A77" s="288"/>
      <c r="B77" s="282" t="s">
        <v>249</v>
      </c>
      <c r="C77" s="432"/>
      <c r="D77" s="269"/>
      <c r="E77" s="290"/>
      <c r="F77" s="290"/>
      <c r="G77" s="279"/>
      <c r="H77" s="279">
        <f>+H76+H75</f>
        <v>1288907318.9655173</v>
      </c>
    </row>
    <row r="78" spans="1:9" x14ac:dyDescent="0.2">
      <c r="A78" s="258"/>
      <c r="B78" s="259" t="s">
        <v>250</v>
      </c>
      <c r="C78" s="434"/>
      <c r="D78" s="139"/>
      <c r="E78" s="261"/>
      <c r="F78" s="261"/>
      <c r="G78" s="262"/>
      <c r="H78" s="262">
        <f>+H77*1.16</f>
        <v>1495132490</v>
      </c>
    </row>
    <row r="79" spans="1:9" x14ac:dyDescent="0.2">
      <c r="I79" s="188"/>
    </row>
    <row r="80" spans="1:9" x14ac:dyDescent="0.2">
      <c r="B80" s="554"/>
      <c r="C80" s="554"/>
      <c r="D80" s="554"/>
      <c r="E80" s="554"/>
      <c r="F80" s="554"/>
      <c r="G80" s="554"/>
      <c r="H80" s="554"/>
    </row>
    <row r="81" spans="2:8" x14ac:dyDescent="0.2">
      <c r="B81" s="554"/>
      <c r="C81" s="554"/>
      <c r="D81" s="554"/>
      <c r="E81" s="554"/>
      <c r="F81" s="554"/>
      <c r="G81" s="554"/>
      <c r="H81" s="554"/>
    </row>
    <row r="82" spans="2:8" x14ac:dyDescent="0.2">
      <c r="B82" s="554"/>
      <c r="C82" s="554"/>
      <c r="D82" s="554"/>
      <c r="E82" s="554"/>
      <c r="F82" s="554"/>
      <c r="G82" s="554"/>
      <c r="H82" s="554"/>
    </row>
    <row r="83" spans="2:8" x14ac:dyDescent="0.2">
      <c r="B83" s="554"/>
      <c r="C83" s="554"/>
      <c r="D83" s="554"/>
      <c r="E83" s="554"/>
      <c r="F83" s="554"/>
      <c r="G83" s="554"/>
      <c r="H83" s="554"/>
    </row>
    <row r="84" spans="2:8" x14ac:dyDescent="0.2">
      <c r="B84" s="554"/>
      <c r="C84" s="554"/>
      <c r="D84" s="554"/>
      <c r="E84" s="554"/>
      <c r="F84" s="554"/>
      <c r="G84" s="554"/>
      <c r="H84" s="554"/>
    </row>
    <row r="85" spans="2:8" x14ac:dyDescent="0.2">
      <c r="B85" s="554"/>
      <c r="C85" s="554"/>
      <c r="D85" s="554"/>
      <c r="E85" s="554"/>
      <c r="F85" s="554"/>
      <c r="G85" s="554"/>
      <c r="H85" s="554"/>
    </row>
    <row r="86" spans="2:8" x14ac:dyDescent="0.2">
      <c r="B86" s="554"/>
      <c r="C86" s="554"/>
      <c r="D86" s="554"/>
      <c r="E86" s="554"/>
      <c r="F86" s="554"/>
      <c r="G86" s="554"/>
      <c r="H86" s="554"/>
    </row>
    <row r="87" spans="2:8" x14ac:dyDescent="0.2">
      <c r="B87" s="554"/>
      <c r="C87" s="554"/>
      <c r="D87" s="554"/>
      <c r="E87" s="554"/>
      <c r="F87" s="554"/>
      <c r="G87" s="554"/>
      <c r="H87" s="554"/>
    </row>
  </sheetData>
  <mergeCells count="4">
    <mergeCell ref="A8:H8"/>
    <mergeCell ref="A9:B9"/>
    <mergeCell ref="B59:F59"/>
    <mergeCell ref="B80:H87"/>
  </mergeCells>
  <pageMargins left="0.25" right="0.25" top="0.75" bottom="0.75" header="0.3" footer="0.3"/>
  <pageSetup scale="87" fitToHeight="0" orientation="landscape" r:id="rId1"/>
  <rowBreaks count="1" manualBreakCount="1">
    <brk id="63" max="13"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8"/>
  <sheetViews>
    <sheetView workbookViewId="0">
      <selection activeCell="B14" sqref="B14"/>
    </sheetView>
  </sheetViews>
  <sheetFormatPr baseColWidth="10" defaultColWidth="10.85546875" defaultRowHeight="12.75" x14ac:dyDescent="0.2"/>
  <cols>
    <col min="1" max="1" width="7.42578125" style="172" bestFit="1" customWidth="1"/>
    <col min="2" max="2" width="83" style="173" customWidth="1"/>
    <col min="3" max="3" width="14.140625" style="174" customWidth="1"/>
    <col min="4" max="4" width="16.140625" style="174" customWidth="1"/>
    <col min="5" max="5" width="65.28515625" style="175" customWidth="1"/>
    <col min="6" max="6" width="10.85546875" style="137"/>
    <col min="7" max="7" width="14.140625" style="188" customWidth="1"/>
    <col min="8" max="16384" width="10.85546875" style="137"/>
  </cols>
  <sheetData>
    <row r="1" spans="1:7" x14ac:dyDescent="0.2">
      <c r="B1" s="176" t="s">
        <v>195</v>
      </c>
      <c r="C1" s="174" t="s">
        <v>260</v>
      </c>
    </row>
    <row r="2" spans="1:7" x14ac:dyDescent="0.2">
      <c r="B2" s="176" t="s">
        <v>196</v>
      </c>
      <c r="C2" s="174" t="s">
        <v>261</v>
      </c>
    </row>
    <row r="3" spans="1:7" x14ac:dyDescent="0.2">
      <c r="B3" s="176" t="s">
        <v>197</v>
      </c>
      <c r="C3" s="174" t="s">
        <v>262</v>
      </c>
    </row>
    <row r="4" spans="1:7" x14ac:dyDescent="0.2">
      <c r="B4" s="177" t="s">
        <v>161</v>
      </c>
      <c r="C4" s="174" t="s">
        <v>263</v>
      </c>
    </row>
    <row r="5" spans="1:7" ht="15" x14ac:dyDescent="0.25">
      <c r="B5" s="176" t="s">
        <v>160</v>
      </c>
      <c r="C5" s="295" t="s">
        <v>264</v>
      </c>
    </row>
    <row r="6" spans="1:7" x14ac:dyDescent="0.2">
      <c r="B6" s="176" t="s">
        <v>198</v>
      </c>
      <c r="C6" s="174" t="s">
        <v>265</v>
      </c>
    </row>
    <row r="8" spans="1:7" ht="15" customHeight="1" x14ac:dyDescent="0.2">
      <c r="A8" s="544" t="s">
        <v>102</v>
      </c>
      <c r="B8" s="544"/>
      <c r="C8" s="544"/>
      <c r="D8" s="544"/>
      <c r="E8" s="544"/>
      <c r="F8" s="544"/>
      <c r="G8" s="544"/>
    </row>
    <row r="9" spans="1:7" ht="51" x14ac:dyDescent="0.2">
      <c r="A9" s="545" t="s">
        <v>62</v>
      </c>
      <c r="B9" s="546"/>
      <c r="C9" s="138" t="s">
        <v>63</v>
      </c>
      <c r="D9" s="139" t="s">
        <v>64</v>
      </c>
      <c r="E9" s="293" t="s">
        <v>65</v>
      </c>
      <c r="F9" s="191" t="s">
        <v>101</v>
      </c>
      <c r="G9" s="192" t="s">
        <v>61</v>
      </c>
    </row>
    <row r="10" spans="1:7" x14ac:dyDescent="0.2">
      <c r="A10" s="141"/>
      <c r="B10" s="142" t="s">
        <v>117</v>
      </c>
      <c r="C10" s="138"/>
      <c r="D10" s="139"/>
      <c r="E10" s="293"/>
      <c r="F10" s="191"/>
      <c r="G10" s="192"/>
    </row>
    <row r="11" spans="1:7" x14ac:dyDescent="0.2">
      <c r="A11" s="143" t="s">
        <v>129</v>
      </c>
      <c r="B11" s="142" t="s">
        <v>170</v>
      </c>
      <c r="C11" s="144"/>
      <c r="D11" s="142"/>
      <c r="E11" s="145"/>
      <c r="F11" s="145"/>
      <c r="G11" s="197"/>
    </row>
    <row r="12" spans="1:7" ht="91.5" customHeight="1" x14ac:dyDescent="0.2">
      <c r="A12" s="146" t="s">
        <v>171</v>
      </c>
      <c r="B12" s="147" t="s">
        <v>127</v>
      </c>
      <c r="C12" s="148">
        <v>3</v>
      </c>
      <c r="D12" s="148" t="s">
        <v>111</v>
      </c>
      <c r="E12" s="149" t="s">
        <v>131</v>
      </c>
      <c r="F12" s="304">
        <v>12000000</v>
      </c>
      <c r="G12" s="209">
        <f>+F12*C12</f>
        <v>36000000</v>
      </c>
    </row>
    <row r="13" spans="1:7" ht="99" customHeight="1" x14ac:dyDescent="0.2">
      <c r="A13" s="150" t="s">
        <v>171</v>
      </c>
      <c r="B13" s="147" t="s">
        <v>128</v>
      </c>
      <c r="C13" s="148">
        <v>2</v>
      </c>
      <c r="D13" s="148" t="s">
        <v>111</v>
      </c>
      <c r="E13" s="149" t="s">
        <v>132</v>
      </c>
      <c r="F13" s="304">
        <v>12000000</v>
      </c>
      <c r="G13" s="209">
        <f t="shared" ref="G13:G76" si="0">+F13*C13</f>
        <v>24000000</v>
      </c>
    </row>
    <row r="14" spans="1:7" ht="162" customHeight="1" x14ac:dyDescent="0.2">
      <c r="A14" s="150" t="s">
        <v>171</v>
      </c>
      <c r="B14" s="147" t="s">
        <v>186</v>
      </c>
      <c r="C14" s="148">
        <v>5</v>
      </c>
      <c r="D14" s="148" t="s">
        <v>110</v>
      </c>
      <c r="E14" s="149" t="s">
        <v>136</v>
      </c>
      <c r="F14" s="304">
        <v>9000000</v>
      </c>
      <c r="G14" s="209">
        <f t="shared" si="0"/>
        <v>45000000</v>
      </c>
    </row>
    <row r="15" spans="1:7" ht="162.75" customHeight="1" x14ac:dyDescent="0.2">
      <c r="A15" s="146" t="s">
        <v>171</v>
      </c>
      <c r="B15" s="147" t="s">
        <v>187</v>
      </c>
      <c r="C15" s="148">
        <v>5</v>
      </c>
      <c r="D15" s="148" t="s">
        <v>110</v>
      </c>
      <c r="E15" s="149" t="s">
        <v>112</v>
      </c>
      <c r="F15" s="304">
        <v>7000000</v>
      </c>
      <c r="G15" s="209">
        <f t="shared" si="0"/>
        <v>35000000</v>
      </c>
    </row>
    <row r="16" spans="1:7" ht="25.5" x14ac:dyDescent="0.2">
      <c r="A16" s="146" t="s">
        <v>172</v>
      </c>
      <c r="B16" s="147" t="s">
        <v>113</v>
      </c>
      <c r="C16" s="148">
        <v>6</v>
      </c>
      <c r="D16" s="148" t="s">
        <v>114</v>
      </c>
      <c r="E16" s="149" t="s">
        <v>115</v>
      </c>
      <c r="F16" s="304">
        <v>20000000</v>
      </c>
      <c r="G16" s="209">
        <f t="shared" si="0"/>
        <v>120000000</v>
      </c>
    </row>
    <row r="17" spans="1:7" ht="43.5" customHeight="1" x14ac:dyDescent="0.2">
      <c r="A17" s="146" t="s">
        <v>173</v>
      </c>
      <c r="B17" s="147" t="s">
        <v>107</v>
      </c>
      <c r="C17" s="151">
        <v>16</v>
      </c>
      <c r="D17" s="148" t="s">
        <v>123</v>
      </c>
      <c r="E17" s="149" t="s">
        <v>116</v>
      </c>
      <c r="F17" s="304">
        <v>15000000</v>
      </c>
      <c r="G17" s="209">
        <f t="shared" si="0"/>
        <v>240000000</v>
      </c>
    </row>
    <row r="18" spans="1:7" ht="285.75" customHeight="1" x14ac:dyDescent="0.2">
      <c r="A18" s="152" t="s">
        <v>174</v>
      </c>
      <c r="B18" s="147" t="s">
        <v>151</v>
      </c>
      <c r="C18" s="148">
        <v>2</v>
      </c>
      <c r="D18" s="148" t="s">
        <v>145</v>
      </c>
      <c r="E18" s="149" t="s">
        <v>152</v>
      </c>
      <c r="F18" s="304">
        <v>5000000</v>
      </c>
      <c r="G18" s="209">
        <f t="shared" si="0"/>
        <v>10000000</v>
      </c>
    </row>
    <row r="19" spans="1:7" ht="270" customHeight="1" x14ac:dyDescent="0.2">
      <c r="A19" s="152">
        <v>2.4</v>
      </c>
      <c r="B19" s="147" t="s">
        <v>176</v>
      </c>
      <c r="C19" s="148">
        <v>2</v>
      </c>
      <c r="D19" s="148" t="s">
        <v>145</v>
      </c>
      <c r="E19" s="149" t="s">
        <v>175</v>
      </c>
      <c r="F19" s="304">
        <v>5000000</v>
      </c>
      <c r="G19" s="209">
        <f t="shared" si="0"/>
        <v>10000000</v>
      </c>
    </row>
    <row r="20" spans="1:7" ht="270" customHeight="1" thickBot="1" x14ac:dyDescent="0.25">
      <c r="A20" s="152">
        <v>2.4</v>
      </c>
      <c r="B20" s="147" t="s">
        <v>153</v>
      </c>
      <c r="C20" s="148">
        <v>2</v>
      </c>
      <c r="D20" s="148" t="s">
        <v>145</v>
      </c>
      <c r="E20" s="149" t="s">
        <v>154</v>
      </c>
      <c r="F20" s="305">
        <v>5000000</v>
      </c>
      <c r="G20" s="209">
        <f t="shared" si="0"/>
        <v>10000000</v>
      </c>
    </row>
    <row r="21" spans="1:7" ht="55.5" customHeight="1" x14ac:dyDescent="0.2">
      <c r="A21" s="152">
        <v>2</v>
      </c>
      <c r="B21" s="147" t="s">
        <v>144</v>
      </c>
      <c r="C21" s="147">
        <v>10</v>
      </c>
      <c r="D21" s="147" t="s">
        <v>145</v>
      </c>
      <c r="E21" s="147" t="s">
        <v>146</v>
      </c>
      <c r="F21" s="306">
        <v>150000</v>
      </c>
      <c r="G21" s="209">
        <f t="shared" si="0"/>
        <v>1500000</v>
      </c>
    </row>
    <row r="22" spans="1:7" ht="216.75" customHeight="1" x14ac:dyDescent="0.2">
      <c r="A22" s="152">
        <v>2.1</v>
      </c>
      <c r="B22" s="147" t="s">
        <v>203</v>
      </c>
      <c r="C22" s="147">
        <v>48</v>
      </c>
      <c r="D22" s="147" t="s">
        <v>145</v>
      </c>
      <c r="E22" s="147" t="s">
        <v>147</v>
      </c>
      <c r="F22" s="307">
        <v>600000</v>
      </c>
      <c r="G22" s="209">
        <f t="shared" si="0"/>
        <v>28800000</v>
      </c>
    </row>
    <row r="23" spans="1:7" ht="68.25" customHeight="1" x14ac:dyDescent="0.2">
      <c r="A23" s="152">
        <v>2.1</v>
      </c>
      <c r="B23" s="147" t="s">
        <v>148</v>
      </c>
      <c r="C23" s="147">
        <v>8</v>
      </c>
      <c r="D23" s="147" t="s">
        <v>145</v>
      </c>
      <c r="E23" s="147" t="s">
        <v>66</v>
      </c>
      <c r="F23" s="304">
        <v>300000</v>
      </c>
      <c r="G23" s="209">
        <f t="shared" si="0"/>
        <v>2400000</v>
      </c>
    </row>
    <row r="24" spans="1:7" x14ac:dyDescent="0.2">
      <c r="A24" s="547">
        <v>2.1</v>
      </c>
      <c r="B24" s="550" t="s">
        <v>67</v>
      </c>
      <c r="C24" s="153">
        <v>8</v>
      </c>
      <c r="D24" s="154" t="s">
        <v>145</v>
      </c>
      <c r="E24" s="155" t="s">
        <v>68</v>
      </c>
      <c r="F24" s="304">
        <v>50000</v>
      </c>
      <c r="G24" s="209">
        <f t="shared" si="0"/>
        <v>400000</v>
      </c>
    </row>
    <row r="25" spans="1:7" x14ac:dyDescent="0.2">
      <c r="A25" s="548"/>
      <c r="B25" s="550"/>
      <c r="C25" s="153">
        <v>8</v>
      </c>
      <c r="D25" s="154" t="s">
        <v>145</v>
      </c>
      <c r="E25" s="155" t="s">
        <v>69</v>
      </c>
      <c r="F25" s="304">
        <v>30000</v>
      </c>
      <c r="G25" s="209">
        <f t="shared" si="0"/>
        <v>240000</v>
      </c>
    </row>
    <row r="26" spans="1:7" x14ac:dyDescent="0.2">
      <c r="A26" s="549"/>
      <c r="B26" s="550"/>
      <c r="C26" s="153">
        <v>8</v>
      </c>
      <c r="D26" s="154" t="s">
        <v>145</v>
      </c>
      <c r="E26" s="155" t="s">
        <v>70</v>
      </c>
      <c r="F26" s="304">
        <v>30000</v>
      </c>
      <c r="G26" s="209">
        <f t="shared" si="0"/>
        <v>240000</v>
      </c>
    </row>
    <row r="27" spans="1:7" x14ac:dyDescent="0.2">
      <c r="A27" s="152">
        <v>2.1</v>
      </c>
      <c r="B27" s="156" t="s">
        <v>71</v>
      </c>
      <c r="C27" s="154">
        <v>8</v>
      </c>
      <c r="D27" s="154" t="s">
        <v>145</v>
      </c>
      <c r="E27" s="156" t="s">
        <v>72</v>
      </c>
      <c r="F27" s="304">
        <v>460000</v>
      </c>
      <c r="G27" s="209">
        <f t="shared" si="0"/>
        <v>3680000</v>
      </c>
    </row>
    <row r="28" spans="1:7" ht="15.75" customHeight="1" x14ac:dyDescent="0.2">
      <c r="A28" s="152">
        <v>2.1</v>
      </c>
      <c r="B28" s="156" t="s">
        <v>71</v>
      </c>
      <c r="C28" s="154">
        <v>8</v>
      </c>
      <c r="D28" s="154" t="s">
        <v>145</v>
      </c>
      <c r="E28" s="156" t="s">
        <v>72</v>
      </c>
      <c r="F28" s="304">
        <v>460000</v>
      </c>
      <c r="G28" s="209">
        <f t="shared" si="0"/>
        <v>3680000</v>
      </c>
    </row>
    <row r="29" spans="1:7" x14ac:dyDescent="0.2">
      <c r="A29" s="152">
        <v>2.1</v>
      </c>
      <c r="B29" s="157" t="s">
        <v>73</v>
      </c>
      <c r="C29" s="151">
        <v>8</v>
      </c>
      <c r="D29" s="151" t="s">
        <v>75</v>
      </c>
      <c r="E29" s="162" t="s">
        <v>74</v>
      </c>
      <c r="F29" s="304">
        <v>40000</v>
      </c>
      <c r="G29" s="209">
        <f t="shared" si="0"/>
        <v>320000</v>
      </c>
    </row>
    <row r="30" spans="1:7" x14ac:dyDescent="0.2">
      <c r="A30" s="143"/>
      <c r="B30" s="142" t="s">
        <v>177</v>
      </c>
      <c r="C30" s="144"/>
      <c r="D30" s="142"/>
      <c r="E30" s="145"/>
      <c r="F30" s="145"/>
      <c r="G30" s="197"/>
    </row>
    <row r="31" spans="1:7" x14ac:dyDescent="0.2">
      <c r="A31" s="158">
        <v>1</v>
      </c>
      <c r="B31" s="156" t="s">
        <v>78</v>
      </c>
      <c r="C31" s="151">
        <v>1</v>
      </c>
      <c r="D31" s="159" t="s">
        <v>77</v>
      </c>
      <c r="E31" s="162"/>
      <c r="F31" s="304">
        <v>500000</v>
      </c>
      <c r="G31" s="209">
        <f t="shared" si="0"/>
        <v>500000</v>
      </c>
    </row>
    <row r="32" spans="1:7" x14ac:dyDescent="0.2">
      <c r="A32" s="158">
        <f t="shared" ref="A32:A67" si="1">+A31+1</f>
        <v>2</v>
      </c>
      <c r="B32" s="156" t="s">
        <v>79</v>
      </c>
      <c r="C32" s="160">
        <v>30000</v>
      </c>
      <c r="D32" s="159" t="s">
        <v>77</v>
      </c>
      <c r="E32" s="162"/>
      <c r="F32" s="304">
        <v>300</v>
      </c>
      <c r="G32" s="209">
        <f t="shared" si="0"/>
        <v>9000000</v>
      </c>
    </row>
    <row r="33" spans="1:7" x14ac:dyDescent="0.2">
      <c r="A33" s="158">
        <f t="shared" si="1"/>
        <v>3</v>
      </c>
      <c r="B33" s="156" t="s">
        <v>80</v>
      </c>
      <c r="C33" s="151">
        <v>1</v>
      </c>
      <c r="D33" s="159" t="s">
        <v>77</v>
      </c>
      <c r="E33" s="162"/>
      <c r="F33" s="304">
        <v>2000000</v>
      </c>
      <c r="G33" s="209">
        <f t="shared" si="0"/>
        <v>2000000</v>
      </c>
    </row>
    <row r="34" spans="1:7" x14ac:dyDescent="0.2">
      <c r="A34" s="158">
        <f t="shared" si="1"/>
        <v>4</v>
      </c>
      <c r="B34" s="156" t="s">
        <v>81</v>
      </c>
      <c r="C34" s="151">
        <v>2</v>
      </c>
      <c r="D34" s="159" t="s">
        <v>77</v>
      </c>
      <c r="E34" s="162"/>
      <c r="F34" s="304">
        <v>2000000</v>
      </c>
      <c r="G34" s="209">
        <f t="shared" si="0"/>
        <v>4000000</v>
      </c>
    </row>
    <row r="35" spans="1:7" x14ac:dyDescent="0.2">
      <c r="A35" s="158">
        <f t="shared" si="1"/>
        <v>5</v>
      </c>
      <c r="B35" s="156" t="s">
        <v>82</v>
      </c>
      <c r="C35" s="151">
        <v>4</v>
      </c>
      <c r="D35" s="159" t="s">
        <v>77</v>
      </c>
      <c r="E35" s="162"/>
      <c r="F35" s="304">
        <v>2000000</v>
      </c>
      <c r="G35" s="209">
        <f t="shared" si="0"/>
        <v>8000000</v>
      </c>
    </row>
    <row r="36" spans="1:7" x14ac:dyDescent="0.2">
      <c r="A36" s="158">
        <f t="shared" si="1"/>
        <v>6</v>
      </c>
      <c r="B36" s="156" t="s">
        <v>137</v>
      </c>
      <c r="C36" s="151">
        <v>4</v>
      </c>
      <c r="D36" s="159" t="s">
        <v>77</v>
      </c>
      <c r="E36" s="162"/>
      <c r="F36" s="304">
        <v>2000000</v>
      </c>
      <c r="G36" s="209">
        <f t="shared" si="0"/>
        <v>8000000</v>
      </c>
    </row>
    <row r="37" spans="1:7" x14ac:dyDescent="0.2">
      <c r="A37" s="158">
        <f t="shared" si="1"/>
        <v>7</v>
      </c>
      <c r="B37" s="156" t="s">
        <v>138</v>
      </c>
      <c r="C37" s="160">
        <v>40000</v>
      </c>
      <c r="D37" s="159" t="s">
        <v>77</v>
      </c>
      <c r="E37" s="162"/>
      <c r="F37" s="304">
        <v>300</v>
      </c>
      <c r="G37" s="209">
        <f t="shared" si="0"/>
        <v>12000000</v>
      </c>
    </row>
    <row r="38" spans="1:7" x14ac:dyDescent="0.2">
      <c r="A38" s="158">
        <f t="shared" si="1"/>
        <v>8</v>
      </c>
      <c r="B38" s="156" t="s">
        <v>139</v>
      </c>
      <c r="C38" s="151">
        <v>2</v>
      </c>
      <c r="D38" s="159" t="s">
        <v>77</v>
      </c>
      <c r="E38" s="162"/>
      <c r="F38" s="304">
        <v>2000000</v>
      </c>
      <c r="G38" s="209">
        <f t="shared" si="0"/>
        <v>4000000</v>
      </c>
    </row>
    <row r="39" spans="1:7" x14ac:dyDescent="0.2">
      <c r="A39" s="158">
        <f t="shared" si="1"/>
        <v>9</v>
      </c>
      <c r="B39" s="156" t="s">
        <v>140</v>
      </c>
      <c r="C39" s="160">
        <v>20000</v>
      </c>
      <c r="D39" s="159" t="s">
        <v>77</v>
      </c>
      <c r="E39" s="162"/>
      <c r="F39" s="304">
        <v>550</v>
      </c>
      <c r="G39" s="209">
        <f t="shared" si="0"/>
        <v>11000000</v>
      </c>
    </row>
    <row r="40" spans="1:7" x14ac:dyDescent="0.2">
      <c r="A40" s="158">
        <f t="shared" si="1"/>
        <v>10</v>
      </c>
      <c r="B40" s="156" t="s">
        <v>141</v>
      </c>
      <c r="C40" s="151">
        <v>2</v>
      </c>
      <c r="D40" s="159" t="s">
        <v>77</v>
      </c>
      <c r="E40" s="162"/>
      <c r="F40" s="304">
        <v>2000000</v>
      </c>
      <c r="G40" s="209">
        <f t="shared" si="0"/>
        <v>4000000</v>
      </c>
    </row>
    <row r="41" spans="1:7" x14ac:dyDescent="0.2">
      <c r="A41" s="158">
        <f t="shared" si="1"/>
        <v>11</v>
      </c>
      <c r="B41" s="156" t="s">
        <v>142</v>
      </c>
      <c r="C41" s="160">
        <v>20000</v>
      </c>
      <c r="D41" s="159" t="s">
        <v>77</v>
      </c>
      <c r="E41" s="162"/>
      <c r="F41" s="304">
        <v>600</v>
      </c>
      <c r="G41" s="209">
        <f t="shared" si="0"/>
        <v>12000000</v>
      </c>
    </row>
    <row r="42" spans="1:7" x14ac:dyDescent="0.2">
      <c r="A42" s="158">
        <f t="shared" si="1"/>
        <v>12</v>
      </c>
      <c r="B42" s="156" t="s">
        <v>133</v>
      </c>
      <c r="C42" s="160">
        <v>5000</v>
      </c>
      <c r="D42" s="159" t="s">
        <v>77</v>
      </c>
      <c r="E42" s="162"/>
      <c r="F42" s="304">
        <v>250</v>
      </c>
      <c r="G42" s="209">
        <f t="shared" si="0"/>
        <v>1250000</v>
      </c>
    </row>
    <row r="43" spans="1:7" x14ac:dyDescent="0.2">
      <c r="A43" s="158">
        <f t="shared" si="1"/>
        <v>13</v>
      </c>
      <c r="B43" s="156" t="s">
        <v>229</v>
      </c>
      <c r="C43" s="160">
        <v>5000</v>
      </c>
      <c r="D43" s="159" t="s">
        <v>77</v>
      </c>
      <c r="E43" s="162"/>
      <c r="F43" s="304">
        <v>550</v>
      </c>
      <c r="G43" s="209">
        <f t="shared" si="0"/>
        <v>2750000</v>
      </c>
    </row>
    <row r="44" spans="1:7" x14ac:dyDescent="0.2">
      <c r="A44" s="158">
        <f t="shared" si="1"/>
        <v>14</v>
      </c>
      <c r="B44" s="156" t="s">
        <v>124</v>
      </c>
      <c r="C44" s="160">
        <v>1</v>
      </c>
      <c r="D44" s="159" t="s">
        <v>77</v>
      </c>
      <c r="E44" s="162"/>
      <c r="F44" s="304">
        <v>2000000</v>
      </c>
      <c r="G44" s="209">
        <f t="shared" si="0"/>
        <v>2000000</v>
      </c>
    </row>
    <row r="45" spans="1:7" x14ac:dyDescent="0.2">
      <c r="A45" s="158">
        <f t="shared" si="1"/>
        <v>15</v>
      </c>
      <c r="B45" s="161" t="s">
        <v>125</v>
      </c>
      <c r="C45" s="160">
        <v>5000</v>
      </c>
      <c r="D45" s="159" t="s">
        <v>77</v>
      </c>
      <c r="E45" s="162"/>
      <c r="F45" s="304">
        <v>500</v>
      </c>
      <c r="G45" s="209">
        <f t="shared" si="0"/>
        <v>2500000</v>
      </c>
    </row>
    <row r="46" spans="1:7" x14ac:dyDescent="0.2">
      <c r="A46" s="158">
        <f t="shared" si="1"/>
        <v>16</v>
      </c>
      <c r="B46" s="161" t="s">
        <v>126</v>
      </c>
      <c r="C46" s="151">
        <v>1</v>
      </c>
      <c r="D46" s="159" t="s">
        <v>77</v>
      </c>
      <c r="E46" s="162"/>
      <c r="F46" s="304">
        <v>3000000</v>
      </c>
      <c r="G46" s="209">
        <f t="shared" si="0"/>
        <v>3000000</v>
      </c>
    </row>
    <row r="47" spans="1:7" x14ac:dyDescent="0.2">
      <c r="A47" s="158">
        <f t="shared" si="1"/>
        <v>17</v>
      </c>
      <c r="B47" s="161" t="s">
        <v>134</v>
      </c>
      <c r="C47" s="160">
        <v>5000</v>
      </c>
      <c r="D47" s="159" t="s">
        <v>77</v>
      </c>
      <c r="E47" s="162"/>
      <c r="F47" s="304">
        <v>1000</v>
      </c>
      <c r="G47" s="209">
        <f t="shared" si="0"/>
        <v>5000000</v>
      </c>
    </row>
    <row r="48" spans="1:7" x14ac:dyDescent="0.2">
      <c r="A48" s="158">
        <f t="shared" si="1"/>
        <v>18</v>
      </c>
      <c r="B48" s="156" t="s">
        <v>83</v>
      </c>
      <c r="C48" s="151">
        <v>5</v>
      </c>
      <c r="D48" s="159" t="s">
        <v>77</v>
      </c>
      <c r="E48" s="162"/>
      <c r="F48" s="304">
        <v>300000</v>
      </c>
      <c r="G48" s="209">
        <f t="shared" si="0"/>
        <v>1500000</v>
      </c>
    </row>
    <row r="49" spans="1:7" ht="25.5" x14ac:dyDescent="0.2">
      <c r="A49" s="158">
        <f t="shared" si="1"/>
        <v>19</v>
      </c>
      <c r="B49" s="156" t="s">
        <v>135</v>
      </c>
      <c r="C49" s="148">
        <v>40</v>
      </c>
      <c r="D49" s="159" t="s">
        <v>77</v>
      </c>
      <c r="E49" s="162" t="s">
        <v>156</v>
      </c>
      <c r="F49" s="304">
        <v>200000</v>
      </c>
      <c r="G49" s="209">
        <f t="shared" si="0"/>
        <v>8000000</v>
      </c>
    </row>
    <row r="50" spans="1:7" x14ac:dyDescent="0.2">
      <c r="A50" s="158">
        <f t="shared" si="1"/>
        <v>20</v>
      </c>
      <c r="B50" s="156" t="s">
        <v>84</v>
      </c>
      <c r="C50" s="151">
        <v>1</v>
      </c>
      <c r="D50" s="159" t="s">
        <v>77</v>
      </c>
      <c r="E50" s="162"/>
      <c r="F50" s="304">
        <v>300000</v>
      </c>
      <c r="G50" s="209">
        <f t="shared" si="0"/>
        <v>300000</v>
      </c>
    </row>
    <row r="51" spans="1:7" ht="25.5" x14ac:dyDescent="0.2">
      <c r="A51" s="158">
        <f t="shared" si="1"/>
        <v>21</v>
      </c>
      <c r="B51" s="156" t="s">
        <v>85</v>
      </c>
      <c r="C51" s="151">
        <v>2</v>
      </c>
      <c r="D51" s="159" t="s">
        <v>77</v>
      </c>
      <c r="E51" s="162" t="s">
        <v>156</v>
      </c>
      <c r="F51" s="304">
        <v>200000</v>
      </c>
      <c r="G51" s="209">
        <f t="shared" si="0"/>
        <v>400000</v>
      </c>
    </row>
    <row r="52" spans="1:7" x14ac:dyDescent="0.2">
      <c r="A52" s="158">
        <f t="shared" si="1"/>
        <v>22</v>
      </c>
      <c r="B52" s="156" t="s">
        <v>86</v>
      </c>
      <c r="C52" s="151">
        <v>1</v>
      </c>
      <c r="D52" s="159" t="s">
        <v>77</v>
      </c>
      <c r="E52" s="162"/>
      <c r="F52" s="304">
        <v>300000</v>
      </c>
      <c r="G52" s="209">
        <f t="shared" si="0"/>
        <v>300000</v>
      </c>
    </row>
    <row r="53" spans="1:7" ht="38.25" x14ac:dyDescent="0.2">
      <c r="A53" s="158">
        <f t="shared" si="1"/>
        <v>23</v>
      </c>
      <c r="B53" s="156" t="s">
        <v>87</v>
      </c>
      <c r="C53" s="151">
        <v>1</v>
      </c>
      <c r="D53" s="159" t="s">
        <v>77</v>
      </c>
      <c r="E53" s="162" t="s">
        <v>157</v>
      </c>
      <c r="F53" s="304">
        <v>200000</v>
      </c>
      <c r="G53" s="209">
        <f t="shared" si="0"/>
        <v>200000</v>
      </c>
    </row>
    <row r="54" spans="1:7" x14ac:dyDescent="0.2">
      <c r="A54" s="158">
        <f t="shared" si="1"/>
        <v>24</v>
      </c>
      <c r="B54" s="156" t="s">
        <v>88</v>
      </c>
      <c r="C54" s="151">
        <v>1</v>
      </c>
      <c r="D54" s="159" t="s">
        <v>77</v>
      </c>
      <c r="E54" s="162"/>
      <c r="F54" s="304">
        <v>300000</v>
      </c>
      <c r="G54" s="209">
        <f t="shared" si="0"/>
        <v>300000</v>
      </c>
    </row>
    <row r="55" spans="1:7" ht="38.25" x14ac:dyDescent="0.2">
      <c r="A55" s="158">
        <f t="shared" si="1"/>
        <v>25</v>
      </c>
      <c r="B55" s="156" t="s">
        <v>89</v>
      </c>
      <c r="C55" s="151">
        <v>2</v>
      </c>
      <c r="D55" s="159" t="s">
        <v>77</v>
      </c>
      <c r="E55" s="162" t="s">
        <v>157</v>
      </c>
      <c r="F55" s="304">
        <v>200000</v>
      </c>
      <c r="G55" s="209">
        <f t="shared" si="0"/>
        <v>400000</v>
      </c>
    </row>
    <row r="56" spans="1:7" x14ac:dyDescent="0.2">
      <c r="A56" s="158">
        <f>+A55+1</f>
        <v>26</v>
      </c>
      <c r="B56" s="156" t="s">
        <v>90</v>
      </c>
      <c r="C56" s="151">
        <v>1</v>
      </c>
      <c r="D56" s="159" t="s">
        <v>77</v>
      </c>
      <c r="E56" s="162"/>
      <c r="F56" s="308">
        <v>300000</v>
      </c>
      <c r="G56" s="209">
        <f t="shared" si="0"/>
        <v>300000</v>
      </c>
    </row>
    <row r="57" spans="1:7" ht="38.25" x14ac:dyDescent="0.2">
      <c r="A57" s="158">
        <f t="shared" si="1"/>
        <v>27</v>
      </c>
      <c r="B57" s="156" t="s">
        <v>91</v>
      </c>
      <c r="C57" s="151">
        <v>2</v>
      </c>
      <c r="D57" s="159" t="s">
        <v>77</v>
      </c>
      <c r="E57" s="162" t="s">
        <v>157</v>
      </c>
      <c r="F57" s="308">
        <v>200000</v>
      </c>
      <c r="G57" s="209">
        <f t="shared" si="0"/>
        <v>400000</v>
      </c>
    </row>
    <row r="58" spans="1:7" x14ac:dyDescent="0.2">
      <c r="A58" s="158">
        <f t="shared" si="1"/>
        <v>28</v>
      </c>
      <c r="B58" s="156" t="s">
        <v>92</v>
      </c>
      <c r="C58" s="151">
        <v>1</v>
      </c>
      <c r="D58" s="159" t="s">
        <v>77</v>
      </c>
      <c r="E58" s="162"/>
      <c r="F58" s="308">
        <v>300000</v>
      </c>
      <c r="G58" s="209">
        <f t="shared" si="0"/>
        <v>300000</v>
      </c>
    </row>
    <row r="59" spans="1:7" ht="38.25" x14ac:dyDescent="0.2">
      <c r="A59" s="158">
        <f t="shared" si="1"/>
        <v>29</v>
      </c>
      <c r="B59" s="156" t="s">
        <v>93</v>
      </c>
      <c r="C59" s="151">
        <v>1</v>
      </c>
      <c r="D59" s="159" t="s">
        <v>77</v>
      </c>
      <c r="E59" s="162" t="s">
        <v>157</v>
      </c>
      <c r="F59" s="308">
        <v>200000</v>
      </c>
      <c r="G59" s="209">
        <f t="shared" si="0"/>
        <v>200000</v>
      </c>
    </row>
    <row r="60" spans="1:7" x14ac:dyDescent="0.2">
      <c r="A60" s="158">
        <f t="shared" si="1"/>
        <v>30</v>
      </c>
      <c r="B60" s="156" t="s">
        <v>94</v>
      </c>
      <c r="C60" s="151">
        <v>1</v>
      </c>
      <c r="D60" s="159" t="s">
        <v>77</v>
      </c>
      <c r="E60" s="162"/>
      <c r="F60" s="308">
        <v>300000</v>
      </c>
      <c r="G60" s="209">
        <f t="shared" si="0"/>
        <v>300000</v>
      </c>
    </row>
    <row r="61" spans="1:7" ht="38.25" x14ac:dyDescent="0.2">
      <c r="A61" s="158">
        <f t="shared" si="1"/>
        <v>31</v>
      </c>
      <c r="B61" s="156" t="s">
        <v>95</v>
      </c>
      <c r="C61" s="151">
        <v>1</v>
      </c>
      <c r="D61" s="159" t="s">
        <v>77</v>
      </c>
      <c r="E61" s="162" t="s">
        <v>157</v>
      </c>
      <c r="F61" s="308">
        <v>200000</v>
      </c>
      <c r="G61" s="209">
        <f t="shared" si="0"/>
        <v>200000</v>
      </c>
    </row>
    <row r="62" spans="1:7" x14ac:dyDescent="0.2">
      <c r="A62" s="158">
        <f t="shared" si="1"/>
        <v>32</v>
      </c>
      <c r="B62" s="156" t="s">
        <v>96</v>
      </c>
      <c r="C62" s="151">
        <v>1</v>
      </c>
      <c r="D62" s="159" t="s">
        <v>77</v>
      </c>
      <c r="E62" s="162"/>
      <c r="F62" s="309">
        <v>80000</v>
      </c>
      <c r="G62" s="209">
        <f t="shared" si="0"/>
        <v>80000</v>
      </c>
    </row>
    <row r="63" spans="1:7" x14ac:dyDescent="0.2">
      <c r="A63" s="158">
        <f t="shared" si="1"/>
        <v>33</v>
      </c>
      <c r="B63" s="156" t="s">
        <v>97</v>
      </c>
      <c r="C63" s="151">
        <v>1</v>
      </c>
      <c r="D63" s="159" t="s">
        <v>77</v>
      </c>
      <c r="E63" s="162"/>
      <c r="F63" s="309">
        <v>150000</v>
      </c>
      <c r="G63" s="209">
        <f t="shared" si="0"/>
        <v>150000</v>
      </c>
    </row>
    <row r="64" spans="1:7" x14ac:dyDescent="0.2">
      <c r="A64" s="158">
        <f t="shared" si="1"/>
        <v>34</v>
      </c>
      <c r="B64" s="156" t="s">
        <v>98</v>
      </c>
      <c r="C64" s="151">
        <v>1</v>
      </c>
      <c r="D64" s="159" t="s">
        <v>77</v>
      </c>
      <c r="E64" s="162"/>
      <c r="F64" s="309">
        <v>240000</v>
      </c>
      <c r="G64" s="209">
        <f t="shared" si="0"/>
        <v>240000</v>
      </c>
    </row>
    <row r="65" spans="1:7" x14ac:dyDescent="0.2">
      <c r="A65" s="158">
        <f t="shared" si="1"/>
        <v>35</v>
      </c>
      <c r="B65" s="156" t="s">
        <v>99</v>
      </c>
      <c r="C65" s="151">
        <v>1</v>
      </c>
      <c r="D65" s="159" t="s">
        <v>77</v>
      </c>
      <c r="E65" s="162"/>
      <c r="F65" s="309">
        <v>300000</v>
      </c>
      <c r="G65" s="209">
        <f t="shared" si="0"/>
        <v>300000</v>
      </c>
    </row>
    <row r="66" spans="1:7" x14ac:dyDescent="0.2">
      <c r="A66" s="158">
        <f t="shared" si="1"/>
        <v>36</v>
      </c>
      <c r="B66" s="156" t="s">
        <v>100</v>
      </c>
      <c r="C66" s="151">
        <v>1</v>
      </c>
      <c r="D66" s="154" t="s">
        <v>77</v>
      </c>
      <c r="E66" s="162"/>
      <c r="F66" s="309">
        <v>600000</v>
      </c>
      <c r="G66" s="209">
        <f t="shared" si="0"/>
        <v>600000</v>
      </c>
    </row>
    <row r="67" spans="1:7" x14ac:dyDescent="0.2">
      <c r="A67" s="158">
        <f t="shared" si="1"/>
        <v>37</v>
      </c>
      <c r="B67" s="156" t="s">
        <v>155</v>
      </c>
      <c r="C67" s="151">
        <v>5000</v>
      </c>
      <c r="D67" s="159"/>
      <c r="E67" s="162"/>
      <c r="F67" s="304">
        <v>1000</v>
      </c>
      <c r="G67" s="209">
        <f t="shared" si="0"/>
        <v>5000000</v>
      </c>
    </row>
    <row r="68" spans="1:7" ht="14.25" customHeight="1" x14ac:dyDescent="0.2">
      <c r="A68" s="143"/>
      <c r="B68" s="551" t="s">
        <v>178</v>
      </c>
      <c r="C68" s="552"/>
      <c r="D68" s="552"/>
      <c r="E68" s="552"/>
      <c r="F68" s="552"/>
      <c r="G68" s="553"/>
    </row>
    <row r="69" spans="1:7" x14ac:dyDescent="0.2">
      <c r="A69" s="158">
        <v>1</v>
      </c>
      <c r="B69" s="156" t="s">
        <v>163</v>
      </c>
      <c r="C69" s="160">
        <v>58500</v>
      </c>
      <c r="D69" s="159" t="s">
        <v>77</v>
      </c>
      <c r="E69" s="162"/>
      <c r="F69" s="304">
        <v>550</v>
      </c>
      <c r="G69" s="209">
        <f t="shared" si="0"/>
        <v>32175000</v>
      </c>
    </row>
    <row r="70" spans="1:7" x14ac:dyDescent="0.2">
      <c r="A70" s="158">
        <v>2</v>
      </c>
      <c r="B70" s="156" t="s">
        <v>164</v>
      </c>
      <c r="C70" s="160"/>
      <c r="D70" s="159"/>
      <c r="E70" s="162"/>
      <c r="F70" s="304">
        <v>2000000</v>
      </c>
      <c r="G70" s="209">
        <f>F70</f>
        <v>2000000</v>
      </c>
    </row>
    <row r="71" spans="1:7" ht="25.5" x14ac:dyDescent="0.2">
      <c r="A71" s="158">
        <v>3</v>
      </c>
      <c r="B71" s="156" t="s">
        <v>165</v>
      </c>
      <c r="C71" s="160">
        <v>29250</v>
      </c>
      <c r="D71" s="159" t="s">
        <v>77</v>
      </c>
      <c r="E71" s="162"/>
      <c r="F71" s="309">
        <v>5000</v>
      </c>
      <c r="G71" s="209">
        <f t="shared" si="0"/>
        <v>146250000</v>
      </c>
    </row>
    <row r="72" spans="1:7" ht="30.75" customHeight="1" x14ac:dyDescent="0.2">
      <c r="A72" s="158">
        <v>4</v>
      </c>
      <c r="B72" s="156" t="s">
        <v>166</v>
      </c>
      <c r="C72" s="160"/>
      <c r="D72" s="159"/>
      <c r="E72" s="162"/>
      <c r="F72" s="304">
        <v>2000000</v>
      </c>
      <c r="G72" s="209">
        <f t="shared" si="0"/>
        <v>0</v>
      </c>
    </row>
    <row r="73" spans="1:7" ht="27.75" customHeight="1" x14ac:dyDescent="0.2">
      <c r="A73" s="158">
        <v>5</v>
      </c>
      <c r="B73" s="156" t="s">
        <v>167</v>
      </c>
      <c r="C73" s="160">
        <v>29250</v>
      </c>
      <c r="D73" s="159" t="s">
        <v>77</v>
      </c>
      <c r="E73" s="162"/>
      <c r="F73" s="309">
        <v>600</v>
      </c>
      <c r="G73" s="209">
        <f t="shared" si="0"/>
        <v>17550000</v>
      </c>
    </row>
    <row r="74" spans="1:7" ht="30" customHeight="1" x14ac:dyDescent="0.2">
      <c r="A74" s="158">
        <v>6</v>
      </c>
      <c r="B74" s="156" t="s">
        <v>168</v>
      </c>
      <c r="C74" s="160"/>
      <c r="D74" s="159"/>
      <c r="E74" s="162"/>
      <c r="F74" s="309">
        <v>2000000</v>
      </c>
      <c r="G74" s="209">
        <f t="shared" si="0"/>
        <v>0</v>
      </c>
    </row>
    <row r="75" spans="1:7" x14ac:dyDescent="0.2">
      <c r="A75" s="158">
        <v>7</v>
      </c>
      <c r="B75" s="156" t="s">
        <v>149</v>
      </c>
      <c r="C75" s="160">
        <v>29250</v>
      </c>
      <c r="D75" s="159" t="s">
        <v>77</v>
      </c>
      <c r="E75" s="162"/>
      <c r="F75" s="304">
        <v>5000</v>
      </c>
      <c r="G75" s="209">
        <f t="shared" si="0"/>
        <v>146250000</v>
      </c>
    </row>
    <row r="76" spans="1:7" ht="12.75" customHeight="1" x14ac:dyDescent="0.2">
      <c r="A76" s="158">
        <v>8</v>
      </c>
      <c r="B76" s="156" t="s">
        <v>150</v>
      </c>
      <c r="C76" s="160">
        <v>29250</v>
      </c>
      <c r="D76" s="159" t="s">
        <v>77</v>
      </c>
      <c r="E76" s="162"/>
      <c r="F76" s="304">
        <v>200</v>
      </c>
      <c r="G76" s="209">
        <f t="shared" si="0"/>
        <v>5850000</v>
      </c>
    </row>
    <row r="77" spans="1:7" ht="58.5" customHeight="1" x14ac:dyDescent="0.2">
      <c r="A77" s="146">
        <v>9</v>
      </c>
      <c r="B77" s="156" t="s">
        <v>76</v>
      </c>
      <c r="C77" s="160">
        <v>29250</v>
      </c>
      <c r="D77" s="159" t="s">
        <v>77</v>
      </c>
      <c r="E77" s="162" t="s">
        <v>159</v>
      </c>
      <c r="F77" s="309">
        <v>400</v>
      </c>
      <c r="G77" s="209">
        <f t="shared" ref="G77:G81" si="2">+F77*C77</f>
        <v>11700000</v>
      </c>
    </row>
    <row r="78" spans="1:7" ht="14.25" customHeight="1" x14ac:dyDescent="0.2">
      <c r="A78" s="143"/>
      <c r="B78" s="142" t="s">
        <v>179</v>
      </c>
      <c r="C78" s="144"/>
      <c r="D78" s="142"/>
      <c r="E78" s="145"/>
      <c r="F78" s="145"/>
      <c r="G78" s="197"/>
    </row>
    <row r="79" spans="1:7" x14ac:dyDescent="0.2">
      <c r="A79" s="158" t="s">
        <v>180</v>
      </c>
      <c r="B79" s="156" t="s">
        <v>143</v>
      </c>
      <c r="C79" s="151">
        <v>1</v>
      </c>
      <c r="D79" s="159" t="s">
        <v>106</v>
      </c>
      <c r="E79" s="162" t="s">
        <v>130</v>
      </c>
      <c r="F79" s="309">
        <v>5000000</v>
      </c>
      <c r="G79" s="209">
        <f t="shared" si="2"/>
        <v>5000000</v>
      </c>
    </row>
    <row r="80" spans="1:7" x14ac:dyDescent="0.2">
      <c r="A80" s="158" t="s">
        <v>181</v>
      </c>
      <c r="B80" s="156" t="s">
        <v>118</v>
      </c>
      <c r="C80" s="151">
        <v>1</v>
      </c>
      <c r="D80" s="159" t="s">
        <v>119</v>
      </c>
      <c r="E80" s="163" t="s">
        <v>109</v>
      </c>
      <c r="F80" s="304">
        <v>30000000</v>
      </c>
      <c r="G80" s="209">
        <f t="shared" si="2"/>
        <v>30000000</v>
      </c>
    </row>
    <row r="81" spans="1:8" ht="42" customHeight="1" x14ac:dyDescent="0.2">
      <c r="A81" s="158" t="s">
        <v>182</v>
      </c>
      <c r="B81" s="156" t="s">
        <v>120</v>
      </c>
      <c r="C81" s="160">
        <v>4000</v>
      </c>
      <c r="D81" s="159" t="s">
        <v>108</v>
      </c>
      <c r="E81" s="164" t="s">
        <v>158</v>
      </c>
      <c r="F81" s="309">
        <v>800</v>
      </c>
      <c r="G81" s="209">
        <f t="shared" si="2"/>
        <v>3200000</v>
      </c>
    </row>
    <row r="82" spans="1:8" ht="25.5" x14ac:dyDescent="0.2">
      <c r="A82" s="143"/>
      <c r="B82" s="165" t="s">
        <v>121</v>
      </c>
      <c r="C82" s="144"/>
      <c r="D82" s="142"/>
      <c r="E82" s="145"/>
      <c r="F82" s="145"/>
      <c r="G82" s="197"/>
    </row>
    <row r="83" spans="1:8" x14ac:dyDescent="0.2">
      <c r="A83" s="158"/>
      <c r="B83" s="156" t="s">
        <v>122</v>
      </c>
      <c r="C83" s="151"/>
      <c r="D83" s="159"/>
      <c r="E83" s="162"/>
      <c r="F83" s="302">
        <v>3000000</v>
      </c>
      <c r="G83" s="209">
        <f>F83</f>
        <v>3000000</v>
      </c>
    </row>
    <row r="84" spans="1:8" x14ac:dyDescent="0.2">
      <c r="A84" s="143"/>
      <c r="B84" s="165" t="s">
        <v>183</v>
      </c>
      <c r="C84" s="144"/>
      <c r="D84" s="142"/>
      <c r="E84" s="145"/>
      <c r="F84" s="145"/>
      <c r="G84" s="197"/>
    </row>
    <row r="85" spans="1:8" ht="38.25" x14ac:dyDescent="0.2">
      <c r="A85" s="146" t="s">
        <v>184</v>
      </c>
      <c r="B85" s="147" t="s">
        <v>162</v>
      </c>
      <c r="C85" s="148">
        <v>1</v>
      </c>
      <c r="D85" s="166" t="s">
        <v>77</v>
      </c>
      <c r="E85" s="163" t="s">
        <v>169</v>
      </c>
      <c r="F85" s="304">
        <v>20000000</v>
      </c>
      <c r="G85" s="209">
        <f t="shared" ref="G85:G87" si="3">+F85*C85</f>
        <v>20000000</v>
      </c>
    </row>
    <row r="86" spans="1:8" x14ac:dyDescent="0.2">
      <c r="A86" s="167"/>
      <c r="B86" s="168" t="s">
        <v>185</v>
      </c>
      <c r="C86" s="169"/>
      <c r="D86" s="168"/>
      <c r="E86" s="170"/>
      <c r="F86" s="170"/>
      <c r="G86" s="205"/>
    </row>
    <row r="87" spans="1:8" ht="169.5" customHeight="1" x14ac:dyDescent="0.2">
      <c r="A87" s="146">
        <v>2.6</v>
      </c>
      <c r="B87" s="156" t="s">
        <v>103</v>
      </c>
      <c r="C87" s="151">
        <v>10</v>
      </c>
      <c r="D87" s="154" t="s">
        <v>105</v>
      </c>
      <c r="E87" s="149" t="s">
        <v>104</v>
      </c>
      <c r="F87" s="303">
        <v>7000000</v>
      </c>
      <c r="G87" s="209">
        <f t="shared" si="3"/>
        <v>70000000</v>
      </c>
      <c r="H87" s="171"/>
    </row>
    <row r="88" spans="1:8" x14ac:dyDescent="0.2">
      <c r="G88" s="188">
        <f>SUM(G12:G87)</f>
        <v>1174705000</v>
      </c>
    </row>
  </sheetData>
  <mergeCells count="5">
    <mergeCell ref="A8:G8"/>
    <mergeCell ref="A9:B9"/>
    <mergeCell ref="A24:A26"/>
    <mergeCell ref="B24:B26"/>
    <mergeCell ref="B68:G68"/>
  </mergeCells>
  <pageMargins left="0.70866141732283472" right="0.70866141732283472" top="0.74803149606299213" bottom="0.74803149606299213" header="0.31496062992125984" footer="0.31496062992125984"/>
  <pageSetup scale="57" orientation="landscape"/>
  <rowBreaks count="2" manualBreakCount="2">
    <brk id="43" max="6" man="1"/>
    <brk id="83" max="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20</vt:i4>
      </vt:variant>
      <vt:variant>
        <vt:lpstr>Rangos con nombre</vt:lpstr>
      </vt:variant>
      <vt:variant>
        <vt:i4>32</vt:i4>
      </vt:variant>
    </vt:vector>
  </HeadingPairs>
  <TitlesOfParts>
    <vt:vector size="52" baseType="lpstr">
      <vt:lpstr>ANEXO 1_2014</vt:lpstr>
      <vt:lpstr>ANEXO 1 (2)</vt:lpstr>
      <vt:lpstr>Hoja3</vt:lpstr>
      <vt:lpstr>CONSOLIDADO.</vt:lpstr>
      <vt:lpstr>ANEXO ECONOMICO</vt:lpstr>
      <vt:lpstr>cONSOLIDADO (2)</vt:lpstr>
      <vt:lpstr>cONSOLIDADO</vt:lpstr>
      <vt:lpstr>CO4AJUSTADA</vt:lpstr>
      <vt:lpstr>Anexo</vt:lpstr>
      <vt:lpstr>C01_INICIAL</vt:lpstr>
      <vt:lpstr>CO2</vt:lpstr>
      <vt:lpstr>CO3</vt:lpstr>
      <vt:lpstr>CO4</vt:lpstr>
      <vt:lpstr>CO5</vt:lpstr>
      <vt:lpstr>CO1_MODIFICADA</vt:lpstr>
      <vt:lpstr>ICFES</vt:lpstr>
      <vt:lpstr>OPTIMA 2015</vt:lpstr>
      <vt:lpstr>SECOP_CATA</vt:lpstr>
      <vt:lpstr>SECOP_ALEJOY CARO</vt:lpstr>
      <vt:lpstr>SECOP_CONIE</vt:lpstr>
      <vt:lpstr>SECOP_CATA!_GoBack</vt:lpstr>
      <vt:lpstr>Anexo!Área_de_impresión</vt:lpstr>
      <vt:lpstr>'ANEXO ECONOMICO'!Área_de_impresión</vt:lpstr>
      <vt:lpstr>'C01_INICIAL'!Área_de_impresión</vt:lpstr>
      <vt:lpstr>CO1_MODIFICADA!Área_de_impresión</vt:lpstr>
      <vt:lpstr>'CO2'!Área_de_impresión</vt:lpstr>
      <vt:lpstr>'CO3'!Área_de_impresión</vt:lpstr>
      <vt:lpstr>'CO4'!Área_de_impresión</vt:lpstr>
      <vt:lpstr>CO4AJUSTADA!Área_de_impresión</vt:lpstr>
      <vt:lpstr>'CO5'!Área_de_impresión</vt:lpstr>
      <vt:lpstr>cONSOLIDADO!Área_de_impresión</vt:lpstr>
      <vt:lpstr>'cONSOLIDADO (2)'!Área_de_impresión</vt:lpstr>
      <vt:lpstr>CONSOLIDADO.!Área_de_impresión</vt:lpstr>
      <vt:lpstr>ICFES!Área_de_impresión</vt:lpstr>
      <vt:lpstr>'OPTIMA 2015'!Área_de_impresión</vt:lpstr>
      <vt:lpstr>'SECOP_ALEJOY CARO'!Área_de_impresión</vt:lpstr>
      <vt:lpstr>Anexo!Títulos_a_imprimir</vt:lpstr>
      <vt:lpstr>'ANEXO 1 (2)'!Títulos_a_imprimir</vt:lpstr>
      <vt:lpstr>'ANEXO 1_2014'!Títulos_a_imprimir</vt:lpstr>
      <vt:lpstr>'ANEXO ECONOMICO'!Títulos_a_imprimir</vt:lpstr>
      <vt:lpstr>'C01_INICIAL'!Títulos_a_imprimir</vt:lpstr>
      <vt:lpstr>CO1_MODIFICADA!Títulos_a_imprimir</vt:lpstr>
      <vt:lpstr>'CO2'!Títulos_a_imprimir</vt:lpstr>
      <vt:lpstr>'CO3'!Títulos_a_imprimir</vt:lpstr>
      <vt:lpstr>'CO4'!Títulos_a_imprimir</vt:lpstr>
      <vt:lpstr>CO4AJUSTADA!Títulos_a_imprimir</vt:lpstr>
      <vt:lpstr>'CO5'!Títulos_a_imprimir</vt:lpstr>
      <vt:lpstr>cONSOLIDADO!Títulos_a_imprimir</vt:lpstr>
      <vt:lpstr>'cONSOLIDADO (2)'!Títulos_a_imprimir</vt:lpstr>
      <vt:lpstr>CONSOLIDADO.!Títulos_a_imprimir</vt:lpstr>
      <vt:lpstr>ICFES!Títulos_a_imprimir</vt:lpstr>
      <vt:lpstr>'OPTIMA 2015'!Títulos_a_imprimir</vt:lpstr>
    </vt:vector>
  </TitlesOfParts>
  <Company>Toshiba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nando</dc:creator>
  <cp:lastModifiedBy>Sebastian Salazar</cp:lastModifiedBy>
  <cp:lastPrinted>2016-02-04T23:10:19Z</cp:lastPrinted>
  <dcterms:created xsi:type="dcterms:W3CDTF">2012-04-26T00:28:04Z</dcterms:created>
  <dcterms:modified xsi:type="dcterms:W3CDTF">2016-02-04T23:10:57Z</dcterms:modified>
</cp:coreProperties>
</file>