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salazar\Downloads\Comunicaciones\Adenda\"/>
    </mc:Choice>
  </mc:AlternateContent>
  <bookViews>
    <workbookView xWindow="0" yWindow="0" windowWidth="19170" windowHeight="7245" tabRatio="798" firstSheet="4" activeTab="4"/>
  </bookViews>
  <sheets>
    <sheet name="ANEXO 1_2014" sheetId="7" state="hidden" r:id="rId1"/>
    <sheet name="ANEXO 1 (2)" sheetId="8" state="hidden" r:id="rId2"/>
    <sheet name="Hoja3" sheetId="16" state="hidden" r:id="rId3"/>
    <sheet name="CONSOLIDADO." sheetId="22" state="hidden" r:id="rId4"/>
    <sheet name="ANEXO ECONOMICO" sheetId="33" r:id="rId5"/>
    <sheet name="cONSOLIDADO (2)" sheetId="19" state="hidden" r:id="rId6"/>
    <sheet name="cONSOLIDADO" sheetId="15" state="hidden" r:id="rId7"/>
    <sheet name="CO4AJUSTADA" sheetId="32" state="hidden" r:id="rId8"/>
    <sheet name="Anexo" sheetId="25" state="hidden" r:id="rId9"/>
    <sheet name="C01_INICIAL" sheetId="9" state="hidden" r:id="rId10"/>
    <sheet name="CO2" sheetId="14" state="hidden" r:id="rId11"/>
    <sheet name="CO3" sheetId="17" state="hidden" r:id="rId12"/>
    <sheet name="CO4" sheetId="21" state="hidden" r:id="rId13"/>
    <sheet name="CO5" sheetId="24" state="hidden" r:id="rId14"/>
    <sheet name="CO1_MODIFICADA" sheetId="26" state="hidden" r:id="rId15"/>
    <sheet name="ICFES" sheetId="28" state="hidden" r:id="rId16"/>
    <sheet name="OPTIMA 2015" sheetId="29" state="hidden" r:id="rId17"/>
    <sheet name="SECOP_CATA" sheetId="30" state="hidden" r:id="rId18"/>
    <sheet name="SECOP_ALEJOY CARO" sheetId="31" state="hidden" r:id="rId19"/>
    <sheet name="SECOP_CONIE" sheetId="27" state="hidden" r:id="rId20"/>
  </sheets>
  <externalReferences>
    <externalReference r:id="rId21"/>
    <externalReference r:id="rId22"/>
    <externalReference r:id="rId23"/>
    <externalReference r:id="rId24"/>
  </externalReferences>
  <definedNames>
    <definedName name="_0">#N/A</definedName>
    <definedName name="_GoBack" localSheetId="17">SECOP_CATA!$D$22</definedName>
    <definedName name="_xlnm.Print_Area" localSheetId="8">Anexo!$A$1:$G$87</definedName>
    <definedName name="_xlnm.Print_Area" localSheetId="4">'ANEXO ECONOMICO'!$A$7:$L$76</definedName>
    <definedName name="_xlnm.Print_Area" localSheetId="9">'C01_INICIAL'!$A$1:$G$87</definedName>
    <definedName name="_xlnm.Print_Area" localSheetId="14">CO1_MODIFICADA!$A$1:$G$81</definedName>
    <definedName name="_xlnm.Print_Area" localSheetId="10">'CO2'!$A$1:$G$87</definedName>
    <definedName name="_xlnm.Print_Area" localSheetId="11">'CO3'!$A$1:$G$85</definedName>
    <definedName name="_xlnm.Print_Area" localSheetId="12">'CO4'!$A$1:$G$102</definedName>
    <definedName name="_xlnm.Print_Area" localSheetId="7">CO4AJUSTADA!$A$8:$H$78</definedName>
    <definedName name="_xlnm.Print_Area" localSheetId="13">'CO5'!$A$1:$G$81</definedName>
    <definedName name="_xlnm.Print_Area" localSheetId="6">cONSOLIDADO!$A$1:$G$87</definedName>
    <definedName name="_xlnm.Print_Area" localSheetId="5">'cONSOLIDADO (2)'!$A$1:$F$87</definedName>
    <definedName name="_xlnm.Print_Area" localSheetId="3">CONSOLIDADO.!$A$8:$Q$78</definedName>
    <definedName name="_xlnm.Print_Area" localSheetId="15">ICFES!$A$8:$K$81</definedName>
    <definedName name="_xlnm.Print_Area" localSheetId="16">'OPTIMA 2015'!$B$1:$F$230</definedName>
    <definedName name="_xlnm.Print_Area" localSheetId="18">'SECOP_ALEJOY CARO'!$A$25:$D$42</definedName>
    <definedName name="proyectos01">'[1]bienes y servicios'!$F$3:$F$3660</definedName>
    <definedName name="_xlnm.Print_Titles" localSheetId="8">Anexo!$8:$9</definedName>
    <definedName name="_xlnm.Print_Titles" localSheetId="1">'ANEXO 1 (2)'!$7:$9</definedName>
    <definedName name="_xlnm.Print_Titles" localSheetId="0">'ANEXO 1_2014'!$7:$9</definedName>
    <definedName name="_xlnm.Print_Titles" localSheetId="4">'ANEXO ECONOMICO'!$8:$8</definedName>
    <definedName name="_xlnm.Print_Titles" localSheetId="9">'C01_INICIAL'!$8:$9</definedName>
    <definedName name="_xlnm.Print_Titles" localSheetId="14">CO1_MODIFICADA!$8:$9</definedName>
    <definedName name="_xlnm.Print_Titles" localSheetId="10">'CO2'!$8:$9</definedName>
    <definedName name="_xlnm.Print_Titles" localSheetId="11">'CO3'!$8:$9</definedName>
    <definedName name="_xlnm.Print_Titles" localSheetId="12">'CO4'!$8:$9</definedName>
    <definedName name="_xlnm.Print_Titles" localSheetId="7">CO4AJUSTADA!$8:$9</definedName>
    <definedName name="_xlnm.Print_Titles" localSheetId="13">'CO5'!$8:$9</definedName>
    <definedName name="_xlnm.Print_Titles" localSheetId="6">cONSOLIDADO!$8:$9</definedName>
    <definedName name="_xlnm.Print_Titles" localSheetId="5">'cONSOLIDADO (2)'!$8:$9</definedName>
    <definedName name="_xlnm.Print_Titles" localSheetId="3">CONSOLIDADO.!$8:$9</definedName>
    <definedName name="_xlnm.Print_Titles" localSheetId="15">ICFES!$8:$9</definedName>
    <definedName name="_xlnm.Print_Titles" localSheetId="16">'OPTIMA 2015'!$1:$3</definedName>
    <definedName name="xx">'[2]UNIDAD MEDIDA'!$D$2:$D$3</definedName>
    <definedName name="xxx" localSheetId="11">'[1]bienes y servicios'!$F$3:$F$3660</definedName>
    <definedName name="xxx">'[1]bienes y servicios'!$F$3:$F$3660</definedName>
  </definedNames>
  <calcPr calcId="152511" iterateDelta="1E-4"/>
  <extLst>
    <ext xmlns:mx="http://schemas.microsoft.com/office/mac/excel/2008/main" uri="{7523E5D3-25F3-A5E0-1632-64F254C22452}">
      <mx:ArchID Flags="2"/>
    </ext>
  </extLst>
</workbook>
</file>

<file path=xl/calcChain.xml><?xml version="1.0" encoding="utf-8"?>
<calcChain xmlns="http://schemas.openxmlformats.org/spreadsheetml/2006/main">
  <c r="I70" i="33" l="1"/>
  <c r="I73" i="33"/>
  <c r="I74" i="33" s="1"/>
  <c r="I75" i="33" s="1"/>
  <c r="I76" i="33" s="1"/>
  <c r="I62" i="33"/>
  <c r="J71" i="33" l="1"/>
  <c r="J72" i="33"/>
  <c r="I11" i="33"/>
  <c r="I69" i="33" l="1"/>
  <c r="I67" i="33"/>
  <c r="I65" i="33"/>
  <c r="I64" i="33"/>
  <c r="I61" i="33"/>
  <c r="I60" i="33"/>
  <c r="I59" i="33"/>
  <c r="I57" i="33"/>
  <c r="I56" i="33"/>
  <c r="I55" i="33"/>
  <c r="I54" i="33"/>
  <c r="I53" i="33"/>
  <c r="I52" i="33"/>
  <c r="I51" i="33"/>
  <c r="I50" i="33"/>
  <c r="I49" i="33"/>
  <c r="I48" i="33"/>
  <c r="I47" i="33"/>
  <c r="I46" i="33"/>
  <c r="I45" i="33"/>
  <c r="I44" i="33"/>
  <c r="I43" i="33"/>
  <c r="I42" i="33"/>
  <c r="I41" i="33"/>
  <c r="I40" i="33"/>
  <c r="I39" i="33"/>
  <c r="I38" i="33"/>
  <c r="I37" i="33"/>
  <c r="I36" i="33"/>
  <c r="I35" i="33"/>
  <c r="I34" i="33"/>
  <c r="I33" i="33"/>
  <c r="I32" i="33"/>
  <c r="I31" i="33"/>
  <c r="I30" i="33"/>
  <c r="I29" i="33"/>
  <c r="I28" i="33"/>
  <c r="I27" i="33"/>
  <c r="I26" i="33"/>
  <c r="I25" i="33"/>
  <c r="I24" i="33"/>
  <c r="I23" i="33"/>
  <c r="I22" i="33"/>
  <c r="I21" i="33"/>
  <c r="I12" i="33"/>
  <c r="I13" i="33"/>
  <c r="I14" i="33"/>
  <c r="I15" i="33"/>
  <c r="I16" i="33"/>
  <c r="I17" i="33"/>
  <c r="I18" i="33"/>
  <c r="I19" i="33"/>
  <c r="H12" i="33" l="1"/>
  <c r="J12" i="33" s="1"/>
  <c r="H13" i="33"/>
  <c r="J13" i="33" s="1"/>
  <c r="H14" i="33"/>
  <c r="J14" i="33" s="1"/>
  <c r="H15" i="33"/>
  <c r="J15" i="33" s="1"/>
  <c r="H16" i="33"/>
  <c r="J16" i="33" s="1"/>
  <c r="H17" i="33"/>
  <c r="J17" i="33" s="1"/>
  <c r="H18" i="33"/>
  <c r="J18" i="33" s="1"/>
  <c r="H19" i="33"/>
  <c r="J19" i="33" s="1"/>
  <c r="H21" i="33"/>
  <c r="J21" i="33" s="1"/>
  <c r="H22" i="33"/>
  <c r="J22" i="33" s="1"/>
  <c r="H23" i="33"/>
  <c r="J23" i="33" s="1"/>
  <c r="H24" i="33"/>
  <c r="J24" i="33" s="1"/>
  <c r="H25" i="33"/>
  <c r="J25" i="33" s="1"/>
  <c r="H26" i="33"/>
  <c r="J26" i="33" s="1"/>
  <c r="H27" i="33"/>
  <c r="J27" i="33" s="1"/>
  <c r="H28" i="33"/>
  <c r="J28" i="33" s="1"/>
  <c r="H29" i="33"/>
  <c r="J29" i="33" s="1"/>
  <c r="H30" i="33"/>
  <c r="J30" i="33" s="1"/>
  <c r="H31" i="33"/>
  <c r="J31" i="33" s="1"/>
  <c r="H32" i="33"/>
  <c r="J32" i="33" s="1"/>
  <c r="H33" i="33"/>
  <c r="J33" i="33" s="1"/>
  <c r="H34" i="33"/>
  <c r="J34" i="33" s="1"/>
  <c r="H35" i="33"/>
  <c r="J35" i="33" s="1"/>
  <c r="H36" i="33"/>
  <c r="J36" i="33" s="1"/>
  <c r="H37" i="33"/>
  <c r="J37" i="33" s="1"/>
  <c r="H38" i="33"/>
  <c r="J38" i="33" s="1"/>
  <c r="H39" i="33"/>
  <c r="J39" i="33" s="1"/>
  <c r="H40" i="33"/>
  <c r="J40" i="33" s="1"/>
  <c r="H41" i="33"/>
  <c r="J41" i="33" s="1"/>
  <c r="H42" i="33"/>
  <c r="J42" i="33" s="1"/>
  <c r="H43" i="33"/>
  <c r="J43" i="33" s="1"/>
  <c r="H44" i="33"/>
  <c r="J44" i="33" s="1"/>
  <c r="H45" i="33"/>
  <c r="J45" i="33" s="1"/>
  <c r="H46" i="33"/>
  <c r="J46" i="33" s="1"/>
  <c r="H47" i="33"/>
  <c r="J47" i="33" s="1"/>
  <c r="H48" i="33"/>
  <c r="J48" i="33" s="1"/>
  <c r="H49" i="33"/>
  <c r="J49" i="33" s="1"/>
  <c r="H50" i="33"/>
  <c r="J50" i="33" s="1"/>
  <c r="H51" i="33"/>
  <c r="J51" i="33" s="1"/>
  <c r="H52" i="33"/>
  <c r="J52" i="33" s="1"/>
  <c r="H53" i="33"/>
  <c r="J53" i="33" s="1"/>
  <c r="H54" i="33"/>
  <c r="J54" i="33" s="1"/>
  <c r="H55" i="33"/>
  <c r="J55" i="33" s="1"/>
  <c r="H56" i="33"/>
  <c r="J56" i="33" s="1"/>
  <c r="H57" i="33"/>
  <c r="J57" i="33" s="1"/>
  <c r="H59" i="33"/>
  <c r="J59" i="33" s="1"/>
  <c r="H60" i="33"/>
  <c r="J60" i="33" s="1"/>
  <c r="H61" i="33"/>
  <c r="J61" i="33" s="1"/>
  <c r="H62" i="33"/>
  <c r="J62" i="33" s="1"/>
  <c r="H64" i="33"/>
  <c r="J64" i="33" s="1"/>
  <c r="H65" i="33"/>
  <c r="J65" i="33" s="1"/>
  <c r="H67" i="33"/>
  <c r="J67" i="33" s="1"/>
  <c r="H69" i="33"/>
  <c r="J69" i="33" s="1"/>
  <c r="H11" i="33"/>
  <c r="F69" i="33"/>
  <c r="F65" i="33"/>
  <c r="F64" i="33"/>
  <c r="F62" i="33"/>
  <c r="F60" i="33"/>
  <c r="F57" i="33"/>
  <c r="F56" i="33"/>
  <c r="F55" i="33"/>
  <c r="F54" i="33"/>
  <c r="F53" i="33"/>
  <c r="F52" i="33"/>
  <c r="F50" i="33"/>
  <c r="F48"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A22" i="33"/>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F21" i="33"/>
  <c r="F19" i="33"/>
  <c r="F18" i="33"/>
  <c r="F17" i="33"/>
  <c r="F16" i="33"/>
  <c r="F15" i="33"/>
  <c r="F14" i="33"/>
  <c r="F13" i="33"/>
  <c r="F12" i="33"/>
  <c r="F11" i="33"/>
  <c r="K20" i="22"/>
  <c r="J19" i="22"/>
  <c r="J18" i="22"/>
  <c r="J15" i="22"/>
  <c r="J14" i="22"/>
  <c r="J13" i="22"/>
  <c r="J12" i="22"/>
  <c r="J11" i="33" l="1"/>
  <c r="J70" i="33" s="1"/>
  <c r="J73" i="33" s="1"/>
  <c r="J74" i="33" s="1"/>
  <c r="J75" i="33" s="1"/>
  <c r="J76" i="33" s="1"/>
  <c r="H71" i="22"/>
  <c r="H69" i="22"/>
  <c r="H66" i="22"/>
  <c r="H65" i="22"/>
  <c r="H62" i="22"/>
  <c r="H63" i="22"/>
  <c r="H61" i="22"/>
  <c r="H60" i="22"/>
  <c r="H39" i="22"/>
  <c r="H40" i="22"/>
  <c r="H41" i="22"/>
  <c r="H42" i="22"/>
  <c r="H43" i="22"/>
  <c r="H44" i="22"/>
  <c r="H45" i="22"/>
  <c r="H46" i="22"/>
  <c r="H47" i="22"/>
  <c r="H48" i="22"/>
  <c r="H49" i="22"/>
  <c r="H50" i="22"/>
  <c r="H51" i="22"/>
  <c r="H52" i="22"/>
  <c r="H58" i="22"/>
  <c r="H23" i="22"/>
  <c r="H24" i="22"/>
  <c r="H25" i="22"/>
  <c r="H26" i="22"/>
  <c r="H27" i="22"/>
  <c r="H28" i="22"/>
  <c r="H29" i="22"/>
  <c r="H30" i="22"/>
  <c r="H31" i="22"/>
  <c r="H32" i="22"/>
  <c r="H33" i="22"/>
  <c r="H34" i="22"/>
  <c r="H35" i="22"/>
  <c r="H36" i="22"/>
  <c r="H37" i="22"/>
  <c r="H38" i="22"/>
  <c r="H22" i="22"/>
  <c r="H13" i="22"/>
  <c r="H14" i="22"/>
  <c r="H15" i="22"/>
  <c r="H16" i="22"/>
  <c r="H17" i="22"/>
  <c r="H18" i="22"/>
  <c r="H19" i="22"/>
  <c r="H20" i="22"/>
  <c r="H12" i="22"/>
  <c r="H72" i="22" l="1"/>
  <c r="G12" i="22"/>
  <c r="G13" i="22"/>
  <c r="G14" i="22"/>
  <c r="G15" i="22"/>
  <c r="G16" i="22"/>
  <c r="G17" i="22"/>
  <c r="G18" i="22"/>
  <c r="G19" i="22"/>
  <c r="G20" i="22"/>
  <c r="G21" i="22"/>
  <c r="G22" i="22"/>
  <c r="G23" i="22"/>
  <c r="G24" i="22"/>
  <c r="G25" i="22"/>
  <c r="G26" i="22"/>
  <c r="G27" i="22"/>
  <c r="L27" i="22" s="1"/>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8" i="22"/>
  <c r="G59" i="22"/>
  <c r="G60" i="22"/>
  <c r="G61" i="22"/>
  <c r="G62" i="22"/>
  <c r="G63" i="22"/>
  <c r="L63" i="22" s="1"/>
  <c r="G64" i="22"/>
  <c r="G65" i="22"/>
  <c r="G66" i="22"/>
  <c r="G67" i="22"/>
  <c r="G68" i="22"/>
  <c r="G69" i="22"/>
  <c r="G70" i="22"/>
  <c r="G71" i="22"/>
  <c r="G73" i="22"/>
  <c r="G74" i="22"/>
  <c r="I71" i="22"/>
  <c r="I69" i="22"/>
  <c r="I66" i="22"/>
  <c r="I65" i="22"/>
  <c r="I63" i="22"/>
  <c r="I62" i="22"/>
  <c r="I61" i="22"/>
  <c r="I60"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8" i="22"/>
  <c r="I22" i="22"/>
  <c r="I13" i="22"/>
  <c r="I14" i="22"/>
  <c r="I15" i="22"/>
  <c r="I16" i="22"/>
  <c r="I17" i="22"/>
  <c r="I18" i="22"/>
  <c r="I19" i="22"/>
  <c r="I20" i="22"/>
  <c r="I12" i="22"/>
  <c r="H76" i="32"/>
  <c r="G74" i="32"/>
  <c r="G73" i="32"/>
  <c r="I72" i="32"/>
  <c r="G72" i="32"/>
  <c r="H71" i="32"/>
  <c r="F71" i="32"/>
  <c r="H70" i="32"/>
  <c r="H69" i="32"/>
  <c r="H68" i="32"/>
  <c r="H67" i="32"/>
  <c r="F67" i="32"/>
  <c r="H66" i="32"/>
  <c r="F66" i="32"/>
  <c r="H65" i="32"/>
  <c r="F65" i="32"/>
  <c r="H64" i="32"/>
  <c r="H63" i="32"/>
  <c r="F63" i="32"/>
  <c r="H62" i="32"/>
  <c r="H61" i="32"/>
  <c r="F61" i="32"/>
  <c r="H60" i="32"/>
  <c r="H59" i="32"/>
  <c r="H58" i="32"/>
  <c r="F58" i="32"/>
  <c r="H57" i="32"/>
  <c r="F57" i="32"/>
  <c r="H56" i="32"/>
  <c r="F56" i="32"/>
  <c r="H55" i="32"/>
  <c r="F55" i="32"/>
  <c r="H54" i="32"/>
  <c r="F54" i="32"/>
  <c r="H53" i="32"/>
  <c r="F53" i="32"/>
  <c r="H52" i="32"/>
  <c r="H51" i="32"/>
  <c r="F51" i="32"/>
  <c r="H50" i="32"/>
  <c r="H49" i="32"/>
  <c r="F49" i="32"/>
  <c r="H48" i="32"/>
  <c r="H47" i="32"/>
  <c r="F47" i="32"/>
  <c r="H46" i="32"/>
  <c r="F46" i="32"/>
  <c r="H45" i="32"/>
  <c r="F45" i="32"/>
  <c r="H44" i="32"/>
  <c r="F44" i="32"/>
  <c r="H43" i="32"/>
  <c r="F43" i="32"/>
  <c r="H42" i="32"/>
  <c r="F42" i="32"/>
  <c r="H41" i="32"/>
  <c r="F41" i="32"/>
  <c r="H40" i="32"/>
  <c r="F40" i="32"/>
  <c r="H39" i="32"/>
  <c r="F39" i="32"/>
  <c r="H38" i="32"/>
  <c r="F38" i="32"/>
  <c r="H37" i="32"/>
  <c r="F37" i="32"/>
  <c r="H36" i="32"/>
  <c r="F36" i="32"/>
  <c r="H35" i="32"/>
  <c r="F35" i="32"/>
  <c r="H34" i="32"/>
  <c r="F34" i="32"/>
  <c r="H33" i="32"/>
  <c r="F33" i="32"/>
  <c r="H32" i="32"/>
  <c r="F32" i="32"/>
  <c r="H31" i="32"/>
  <c r="F31" i="32"/>
  <c r="H30" i="32"/>
  <c r="F30" i="32"/>
  <c r="H29" i="32"/>
  <c r="F29" i="32"/>
  <c r="H28" i="32"/>
  <c r="F28" i="32"/>
  <c r="H27" i="32"/>
  <c r="F27" i="32"/>
  <c r="H26" i="32"/>
  <c r="F26" i="32"/>
  <c r="H25" i="32"/>
  <c r="F25" i="32"/>
  <c r="H24" i="32"/>
  <c r="F24" i="32"/>
  <c r="H23" i="32"/>
  <c r="F23" i="32"/>
  <c r="A23" i="32"/>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H22" i="32"/>
  <c r="F22" i="32"/>
  <c r="H21" i="32"/>
  <c r="H20" i="32"/>
  <c r="F20" i="32"/>
  <c r="H19" i="32"/>
  <c r="F19" i="32"/>
  <c r="H18" i="32"/>
  <c r="F18" i="32"/>
  <c r="H17" i="32"/>
  <c r="F17" i="32"/>
  <c r="H16" i="32"/>
  <c r="F16" i="32"/>
  <c r="H15" i="32"/>
  <c r="F15" i="32"/>
  <c r="H14" i="32"/>
  <c r="F14" i="32"/>
  <c r="H13" i="32"/>
  <c r="F13" i="32"/>
  <c r="H12" i="32"/>
  <c r="F12" i="32"/>
  <c r="L45" i="22" l="1"/>
  <c r="L29" i="22"/>
  <c r="H72" i="32"/>
  <c r="H75" i="32" s="1"/>
  <c r="H77" i="32" s="1"/>
  <c r="H78" i="32" s="1"/>
  <c r="L22" i="22"/>
  <c r="L60" i="22"/>
  <c r="L61" i="22"/>
  <c r="L13" i="22"/>
  <c r="L15" i="22"/>
  <c r="L65" i="22"/>
  <c r="L20" i="22"/>
  <c r="L12" i="22"/>
  <c r="N12" i="22" s="1"/>
  <c r="L31" i="22"/>
  <c r="L62" i="22"/>
  <c r="L69" i="22"/>
  <c r="L14" i="22"/>
  <c r="L19" i="22"/>
  <c r="G72" i="22"/>
  <c r="S21" i="22" l="1"/>
  <c r="S59" i="22"/>
  <c r="S64" i="22"/>
  <c r="S68" i="22"/>
  <c r="S70" i="22"/>
  <c r="R74" i="22"/>
  <c r="R20" i="22"/>
  <c r="S20" i="22" s="1"/>
  <c r="J66" i="22"/>
  <c r="L66" i="22" s="1"/>
  <c r="J37" i="22" l="1"/>
  <c r="L37" i="22" s="1"/>
  <c r="N74" i="22" l="1"/>
  <c r="N21" i="22"/>
  <c r="N59" i="22"/>
  <c r="N64" i="22"/>
  <c r="N68" i="22"/>
  <c r="N70" i="22"/>
  <c r="J34" i="22"/>
  <c r="L34" i="22" s="1"/>
  <c r="J58" i="22"/>
  <c r="L58" i="22" s="1"/>
  <c r="J35" i="22"/>
  <c r="L35" i="22" s="1"/>
  <c r="J71" i="22"/>
  <c r="L71" i="22" s="1"/>
  <c r="J52" i="22"/>
  <c r="J51" i="22"/>
  <c r="L51" i="22" s="1"/>
  <c r="J50" i="22"/>
  <c r="J48" i="22"/>
  <c r="J49" i="22"/>
  <c r="L49" i="22" s="1"/>
  <c r="J47" i="22"/>
  <c r="L47" i="22" s="1"/>
  <c r="J46" i="22"/>
  <c r="J44" i="22"/>
  <c r="J43" i="22"/>
  <c r="L43" i="22" s="1"/>
  <c r="J42" i="22"/>
  <c r="J41" i="22"/>
  <c r="L41" i="22" s="1"/>
  <c r="J40" i="22"/>
  <c r="J39" i="22"/>
  <c r="L39" i="22" s="1"/>
  <c r="J38" i="22"/>
  <c r="L38" i="22" s="1"/>
  <c r="J33" i="22"/>
  <c r="J30" i="22"/>
  <c r="J28" i="22"/>
  <c r="J24" i="22"/>
  <c r="L24" i="22" s="1"/>
  <c r="K16" i="22"/>
  <c r="K42" i="22" l="1"/>
  <c r="L42" i="22" s="1"/>
  <c r="K44" i="22"/>
  <c r="L44" i="22" s="1"/>
  <c r="K46" i="22"/>
  <c r="L46" i="22" s="1"/>
  <c r="K48" i="22"/>
  <c r="L48" i="22" s="1"/>
  <c r="K50" i="22"/>
  <c r="L50" i="22" s="1"/>
  <c r="K52" i="22"/>
  <c r="L52" i="22" s="1"/>
  <c r="K40" i="22"/>
  <c r="L40" i="22" s="1"/>
  <c r="K33" i="22"/>
  <c r="L33" i="22" s="1"/>
  <c r="K32" i="22"/>
  <c r="L32" i="22" s="1"/>
  <c r="K30" i="22"/>
  <c r="L30" i="22" s="1"/>
  <c r="K28" i="22"/>
  <c r="L28" i="22" s="1"/>
  <c r="K23" i="22" l="1"/>
  <c r="L23" i="22" s="1"/>
  <c r="K18" i="22"/>
  <c r="L18" i="22" s="1"/>
  <c r="F221" i="29"/>
  <c r="F216" i="29"/>
  <c r="F223" i="29" s="1"/>
  <c r="F151" i="29"/>
  <c r="F141" i="29"/>
  <c r="F119" i="29"/>
  <c r="F153" i="29" s="1"/>
  <c r="G52" i="29"/>
  <c r="F13" i="29"/>
  <c r="K72" i="22" l="1"/>
  <c r="F226" i="29"/>
  <c r="R19" i="22" l="1"/>
  <c r="S19" i="22" s="1"/>
  <c r="R18" i="22"/>
  <c r="S18" i="22" s="1"/>
  <c r="J17" i="22"/>
  <c r="R15" i="22"/>
  <c r="S15" i="22" s="1"/>
  <c r="R14" i="22"/>
  <c r="S14" i="22" s="1"/>
  <c r="R13" i="22"/>
  <c r="S13" i="22" s="1"/>
  <c r="R12" i="22"/>
  <c r="S12" i="22" s="1"/>
  <c r="K77" i="28"/>
  <c r="I77" i="28"/>
  <c r="G77" i="28"/>
  <c r="I76" i="28"/>
  <c r="H76" i="28"/>
  <c r="G76" i="28"/>
  <c r="J76" i="28" s="1"/>
  <c r="K76" i="28" s="1"/>
  <c r="P75" i="28"/>
  <c r="I74" i="28"/>
  <c r="H74" i="28"/>
  <c r="G74" i="28"/>
  <c r="F74" i="28"/>
  <c r="K73" i="28"/>
  <c r="I73" i="28"/>
  <c r="H73" i="28"/>
  <c r="G73" i="28"/>
  <c r="I72" i="28"/>
  <c r="H72" i="28"/>
  <c r="G72" i="28"/>
  <c r="K71" i="28"/>
  <c r="I71" i="28"/>
  <c r="H71" i="28"/>
  <c r="G71" i="28"/>
  <c r="K70" i="28"/>
  <c r="I70" i="28"/>
  <c r="H70" i="28"/>
  <c r="G70" i="28"/>
  <c r="K69" i="28"/>
  <c r="I69" i="28"/>
  <c r="H69" i="28"/>
  <c r="G69" i="28"/>
  <c r="I68" i="28"/>
  <c r="H68" i="28"/>
  <c r="G68" i="28"/>
  <c r="F68" i="28"/>
  <c r="I67" i="28"/>
  <c r="H67" i="28"/>
  <c r="G67" i="28"/>
  <c r="J67" i="28" s="1"/>
  <c r="K67" i="28" s="1"/>
  <c r="F67" i="28"/>
  <c r="I66" i="28"/>
  <c r="H66" i="28"/>
  <c r="G66" i="28"/>
  <c r="F66" i="28"/>
  <c r="I65" i="28"/>
  <c r="H65" i="28"/>
  <c r="G65" i="28"/>
  <c r="I64" i="28"/>
  <c r="H64" i="28"/>
  <c r="G64" i="28"/>
  <c r="F64" i="28"/>
  <c r="I63" i="28"/>
  <c r="J63" i="28" s="1"/>
  <c r="K63" i="28" s="1"/>
  <c r="H63" i="28"/>
  <c r="G63" i="28"/>
  <c r="F63" i="28"/>
  <c r="I62" i="28"/>
  <c r="H62" i="28"/>
  <c r="G62" i="28"/>
  <c r="I61" i="28"/>
  <c r="H61" i="28"/>
  <c r="G61" i="28"/>
  <c r="F61" i="28"/>
  <c r="I60" i="28"/>
  <c r="H60" i="28"/>
  <c r="G60" i="28"/>
  <c r="I59" i="28"/>
  <c r="H59" i="28"/>
  <c r="G59" i="28"/>
  <c r="I58" i="28"/>
  <c r="H58" i="28"/>
  <c r="G58" i="28"/>
  <c r="F58" i="28"/>
  <c r="K57" i="28"/>
  <c r="I57" i="28"/>
  <c r="H57" i="28"/>
  <c r="G57" i="28"/>
  <c r="F57" i="28"/>
  <c r="K56" i="28"/>
  <c r="I56" i="28"/>
  <c r="H56" i="28"/>
  <c r="G56" i="28"/>
  <c r="F56" i="28"/>
  <c r="K55" i="28"/>
  <c r="I55" i="28"/>
  <c r="H55" i="28"/>
  <c r="G55" i="28"/>
  <c r="F55" i="28"/>
  <c r="K54" i="28"/>
  <c r="I54" i="28"/>
  <c r="H54" i="28"/>
  <c r="G54" i="28"/>
  <c r="F54" i="28"/>
  <c r="K53" i="28"/>
  <c r="I53" i="28"/>
  <c r="H53" i="28"/>
  <c r="G53" i="28"/>
  <c r="F53" i="28"/>
  <c r="I52" i="28"/>
  <c r="H52" i="28"/>
  <c r="G52" i="28"/>
  <c r="I51" i="28"/>
  <c r="H51" i="28"/>
  <c r="G51" i="28"/>
  <c r="F51" i="28"/>
  <c r="I50" i="28"/>
  <c r="H50" i="28"/>
  <c r="G50" i="28"/>
  <c r="I49" i="28"/>
  <c r="H49" i="28"/>
  <c r="G49" i="28"/>
  <c r="F49" i="28"/>
  <c r="I48" i="28"/>
  <c r="H48" i="28"/>
  <c r="G48" i="28"/>
  <c r="I47" i="28"/>
  <c r="H47" i="28"/>
  <c r="G47" i="28"/>
  <c r="F47" i="28"/>
  <c r="I46" i="28"/>
  <c r="H46" i="28"/>
  <c r="G46" i="28"/>
  <c r="F46" i="28"/>
  <c r="I45" i="28"/>
  <c r="H45" i="28"/>
  <c r="G45" i="28"/>
  <c r="F45" i="28"/>
  <c r="I44" i="28"/>
  <c r="H44" i="28"/>
  <c r="G44" i="28"/>
  <c r="F44" i="28"/>
  <c r="I43" i="28"/>
  <c r="H43" i="28"/>
  <c r="G43" i="28"/>
  <c r="F43" i="28"/>
  <c r="I42" i="28"/>
  <c r="H42" i="28"/>
  <c r="G42" i="28"/>
  <c r="F42" i="28"/>
  <c r="I41" i="28"/>
  <c r="H41" i="28"/>
  <c r="G41" i="28"/>
  <c r="F41" i="28"/>
  <c r="I40" i="28"/>
  <c r="H40" i="28"/>
  <c r="G40" i="28"/>
  <c r="F40" i="28"/>
  <c r="I39" i="28"/>
  <c r="H39" i="28"/>
  <c r="G39" i="28"/>
  <c r="F39" i="28"/>
  <c r="I38" i="28"/>
  <c r="H38" i="28"/>
  <c r="G38" i="28"/>
  <c r="F38" i="28"/>
  <c r="I37" i="28"/>
  <c r="H37" i="28"/>
  <c r="G37" i="28"/>
  <c r="F37" i="28"/>
  <c r="I36" i="28"/>
  <c r="H36" i="28"/>
  <c r="G36" i="28"/>
  <c r="F36" i="28"/>
  <c r="I35" i="28"/>
  <c r="H35" i="28"/>
  <c r="G35" i="28"/>
  <c r="F35" i="28"/>
  <c r="I34" i="28"/>
  <c r="H34" i="28"/>
  <c r="G34" i="28"/>
  <c r="J34" i="28" s="1"/>
  <c r="K34" i="28" s="1"/>
  <c r="F34" i="28"/>
  <c r="I33" i="28"/>
  <c r="H33" i="28"/>
  <c r="G33" i="28"/>
  <c r="F33" i="28"/>
  <c r="I32" i="28"/>
  <c r="H32" i="28"/>
  <c r="G32" i="28"/>
  <c r="F32" i="28"/>
  <c r="I31" i="28"/>
  <c r="H31" i="28"/>
  <c r="G31" i="28"/>
  <c r="F31" i="28"/>
  <c r="I30" i="28"/>
  <c r="H30" i="28"/>
  <c r="G30" i="28"/>
  <c r="F30" i="28"/>
  <c r="I29" i="28"/>
  <c r="H29" i="28"/>
  <c r="G29" i="28"/>
  <c r="F29" i="28"/>
  <c r="I28" i="28"/>
  <c r="H28" i="28"/>
  <c r="G28" i="28"/>
  <c r="F28" i="28"/>
  <c r="I27" i="28"/>
  <c r="H27" i="28"/>
  <c r="G27" i="28"/>
  <c r="F27" i="28"/>
  <c r="I26" i="28"/>
  <c r="H26" i="28"/>
  <c r="G26" i="28"/>
  <c r="F26" i="28"/>
  <c r="I25" i="28"/>
  <c r="H25" i="28"/>
  <c r="G25" i="28"/>
  <c r="F25" i="28"/>
  <c r="I24" i="28"/>
  <c r="H24" i="28"/>
  <c r="G24" i="28"/>
  <c r="F24" i="28"/>
  <c r="I23" i="28"/>
  <c r="H23" i="28"/>
  <c r="G23" i="28"/>
  <c r="F23" i="28"/>
  <c r="A23" i="28"/>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I22" i="28"/>
  <c r="H22" i="28"/>
  <c r="G22" i="28"/>
  <c r="F22" i="28"/>
  <c r="I21" i="28"/>
  <c r="H21" i="28"/>
  <c r="G21" i="28"/>
  <c r="I20" i="28"/>
  <c r="H20" i="28"/>
  <c r="G20" i="28"/>
  <c r="F20" i="28"/>
  <c r="I19" i="28"/>
  <c r="H19" i="28"/>
  <c r="G19" i="28"/>
  <c r="F19" i="28"/>
  <c r="I18" i="28"/>
  <c r="H18" i="28"/>
  <c r="G18" i="28"/>
  <c r="F18" i="28"/>
  <c r="I17" i="28"/>
  <c r="H17" i="28"/>
  <c r="G17" i="28"/>
  <c r="F17" i="28"/>
  <c r="I16" i="28"/>
  <c r="H16" i="28"/>
  <c r="G16" i="28"/>
  <c r="F16" i="28"/>
  <c r="I15" i="28"/>
  <c r="H15" i="28"/>
  <c r="G15" i="28"/>
  <c r="F15" i="28"/>
  <c r="I14" i="28"/>
  <c r="H14" i="28"/>
  <c r="G14" i="28"/>
  <c r="F14" i="28"/>
  <c r="I13" i="28"/>
  <c r="H13" i="28"/>
  <c r="G13" i="28"/>
  <c r="F13" i="28"/>
  <c r="I12" i="28"/>
  <c r="H12" i="28"/>
  <c r="G12" i="28"/>
  <c r="F12" i="28"/>
  <c r="S17" i="22" l="1"/>
  <c r="R17" i="22"/>
  <c r="L17" i="22"/>
  <c r="J61" i="28"/>
  <c r="K61" i="28" s="1"/>
  <c r="J25" i="28"/>
  <c r="K25" i="28" s="1"/>
  <c r="J29" i="28"/>
  <c r="K29" i="28" s="1"/>
  <c r="J33" i="28"/>
  <c r="K33" i="28" s="1"/>
  <c r="J41" i="28"/>
  <c r="K41" i="28" s="1"/>
  <c r="J13" i="28"/>
  <c r="K13" i="28" s="1"/>
  <c r="J15" i="28"/>
  <c r="K15" i="28" s="1"/>
  <c r="J17" i="28"/>
  <c r="K17" i="28" s="1"/>
  <c r="J19" i="28"/>
  <c r="K19" i="28" s="1"/>
  <c r="J23" i="28"/>
  <c r="K23" i="28" s="1"/>
  <c r="J45" i="28"/>
  <c r="K45" i="28" s="1"/>
  <c r="J49" i="28"/>
  <c r="K49" i="28" s="1"/>
  <c r="J58" i="28"/>
  <c r="K58" i="28" s="1"/>
  <c r="J37" i="28"/>
  <c r="K37" i="28" s="1"/>
  <c r="J51" i="28"/>
  <c r="K51" i="28" s="1"/>
  <c r="J12" i="28"/>
  <c r="K12" i="28" s="1"/>
  <c r="J42" i="28"/>
  <c r="K42" i="28" s="1"/>
  <c r="J44" i="28"/>
  <c r="K44" i="28" s="1"/>
  <c r="J48" i="28"/>
  <c r="K48" i="28" s="1"/>
  <c r="J26" i="28"/>
  <c r="K26" i="28" s="1"/>
  <c r="J28" i="28"/>
  <c r="K28" i="28" s="1"/>
  <c r="J14" i="28"/>
  <c r="K14" i="28" s="1"/>
  <c r="J66" i="28"/>
  <c r="K66" i="28" s="1"/>
  <c r="J74" i="28"/>
  <c r="K74" i="28" s="1"/>
  <c r="J31" i="28"/>
  <c r="K31" i="28" s="1"/>
  <c r="J40" i="28"/>
  <c r="K40" i="28" s="1"/>
  <c r="J64" i="28"/>
  <c r="K64" i="28" s="1"/>
  <c r="J60" i="28"/>
  <c r="K60" i="28" s="1"/>
  <c r="J24" i="28"/>
  <c r="K24" i="28" s="1"/>
  <c r="J18" i="28"/>
  <c r="K18" i="28" s="1"/>
  <c r="J20" i="28"/>
  <c r="K20" i="28" s="1"/>
  <c r="J36" i="28"/>
  <c r="K36" i="28" s="1"/>
  <c r="J22" i="28"/>
  <c r="K22" i="28" s="1"/>
  <c r="J68" i="28"/>
  <c r="K68" i="28" s="1"/>
  <c r="J27" i="28"/>
  <c r="K27" i="28" s="1"/>
  <c r="J38" i="28"/>
  <c r="K38" i="28" s="1"/>
  <c r="J47" i="28"/>
  <c r="K47" i="28" s="1"/>
  <c r="J62" i="28"/>
  <c r="K62" i="28" s="1"/>
  <c r="J16" i="28"/>
  <c r="K16" i="28" s="1"/>
  <c r="J50" i="28"/>
  <c r="K50" i="28" s="1"/>
  <c r="J52" i="28"/>
  <c r="K52" i="28" s="1"/>
  <c r="J72" i="28"/>
  <c r="K72" i="28" s="1"/>
  <c r="J43" i="28"/>
  <c r="K43" i="28" s="1"/>
  <c r="I75" i="28"/>
  <c r="H75" i="28"/>
  <c r="J30" i="28"/>
  <c r="K30" i="28" s="1"/>
  <c r="J32" i="28"/>
  <c r="K32" i="28" s="1"/>
  <c r="J35" i="28"/>
  <c r="K35" i="28" s="1"/>
  <c r="J39" i="28"/>
  <c r="K39" i="28" s="1"/>
  <c r="J46" i="28"/>
  <c r="K46" i="28" s="1"/>
  <c r="G75" i="28"/>
  <c r="J75" i="28" l="1"/>
  <c r="K75" i="28"/>
  <c r="K78" i="28" s="1"/>
  <c r="K79" i="28" s="1"/>
  <c r="K80" i="28" s="1"/>
  <c r="K81" i="28" s="1"/>
  <c r="J36" i="22"/>
  <c r="L36" i="22" s="1"/>
  <c r="J26" i="22"/>
  <c r="L26" i="22" s="1"/>
  <c r="J25" i="22"/>
  <c r="L25" i="22" s="1"/>
  <c r="I3" i="27"/>
  <c r="J16" i="22"/>
  <c r="G81" i="26"/>
  <c r="G75" i="26"/>
  <c r="G74" i="26"/>
  <c r="G73" i="26"/>
  <c r="G71" i="26"/>
  <c r="G69" i="26"/>
  <c r="G66" i="26"/>
  <c r="G65" i="26"/>
  <c r="G64" i="26"/>
  <c r="G63" i="26"/>
  <c r="G62" i="26"/>
  <c r="G61" i="26"/>
  <c r="G59" i="26"/>
  <c r="G57" i="26"/>
  <c r="G55" i="26"/>
  <c r="G54" i="26"/>
  <c r="G53" i="26"/>
  <c r="G52" i="26"/>
  <c r="G51" i="26"/>
  <c r="G50" i="26"/>
  <c r="G49" i="26"/>
  <c r="G48" i="26"/>
  <c r="G47" i="26"/>
  <c r="G46" i="26"/>
  <c r="G45" i="26"/>
  <c r="G44" i="26"/>
  <c r="G43" i="26"/>
  <c r="G42" i="26"/>
  <c r="G41" i="26"/>
  <c r="G40" i="26"/>
  <c r="G39" i="26"/>
  <c r="G38" i="26"/>
  <c r="G37" i="26"/>
  <c r="G36" i="26"/>
  <c r="G35" i="26"/>
  <c r="G34" i="26"/>
  <c r="G33" i="26"/>
  <c r="G32" i="26"/>
  <c r="G31" i="26"/>
  <c r="A31" i="26"/>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G30" i="26"/>
  <c r="G28" i="26"/>
  <c r="G27" i="26"/>
  <c r="G26" i="26"/>
  <c r="G25" i="26"/>
  <c r="G24" i="26"/>
  <c r="G23" i="26"/>
  <c r="G22" i="26"/>
  <c r="G21" i="26"/>
  <c r="G20" i="26"/>
  <c r="G19" i="26"/>
  <c r="G18" i="26"/>
  <c r="G17" i="26"/>
  <c r="G16" i="26"/>
  <c r="G15" i="26"/>
  <c r="G14" i="26"/>
  <c r="G13" i="26"/>
  <c r="G12" i="26"/>
  <c r="R16" i="22" l="1"/>
  <c r="S16" i="22" s="1"/>
  <c r="L16" i="22"/>
  <c r="G87" i="25"/>
  <c r="G85" i="25"/>
  <c r="G83" i="25"/>
  <c r="G81" i="25"/>
  <c r="G80" i="25"/>
  <c r="G79" i="25"/>
  <c r="G77" i="25"/>
  <c r="G76" i="25"/>
  <c r="G75" i="25"/>
  <c r="G74" i="25"/>
  <c r="G73" i="25"/>
  <c r="G72" i="25"/>
  <c r="G71" i="25"/>
  <c r="G70" i="25"/>
  <c r="G69"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A32" i="25"/>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G31" i="25"/>
  <c r="G29" i="25"/>
  <c r="G28" i="25"/>
  <c r="G27" i="25"/>
  <c r="G26" i="25"/>
  <c r="G25" i="25"/>
  <c r="G24" i="25"/>
  <c r="G23" i="25"/>
  <c r="G22" i="25"/>
  <c r="G21" i="25"/>
  <c r="G20" i="25"/>
  <c r="G19" i="25"/>
  <c r="G18" i="25"/>
  <c r="G17" i="25"/>
  <c r="G16" i="25"/>
  <c r="G15" i="25"/>
  <c r="G14" i="25"/>
  <c r="G13" i="25"/>
  <c r="G12" i="25"/>
  <c r="G88" i="25" l="1"/>
  <c r="J72" i="22"/>
  <c r="G81" i="24"/>
  <c r="G79" i="24"/>
  <c r="G77" i="24"/>
  <c r="G75" i="24"/>
  <c r="G74" i="24"/>
  <c r="G73" i="24"/>
  <c r="G71" i="24"/>
  <c r="G70" i="24"/>
  <c r="G69" i="24"/>
  <c r="G68"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A31" i="24"/>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G30" i="24"/>
  <c r="G28" i="24"/>
  <c r="G27" i="24"/>
  <c r="G26" i="24"/>
  <c r="G25" i="24"/>
  <c r="G24" i="24"/>
  <c r="G23" i="24"/>
  <c r="G22" i="24"/>
  <c r="G21" i="24"/>
  <c r="G20" i="24"/>
  <c r="G19" i="24"/>
  <c r="G18" i="24"/>
  <c r="G17" i="24"/>
  <c r="G16" i="24"/>
  <c r="G15" i="24"/>
  <c r="G14" i="24"/>
  <c r="G13" i="24"/>
  <c r="G12" i="24"/>
  <c r="G82" i="24" l="1"/>
  <c r="I21" i="22" l="1"/>
  <c r="M21" i="22" l="1"/>
  <c r="O21" i="22" s="1"/>
  <c r="O74" i="22"/>
  <c r="I73" i="22" l="1"/>
  <c r="R73" i="22" s="1"/>
  <c r="F71" i="22" l="1"/>
  <c r="I70" i="22"/>
  <c r="I68" i="22"/>
  <c r="F67" i="22"/>
  <c r="F66" i="22"/>
  <c r="F65" i="22"/>
  <c r="I64" i="22"/>
  <c r="R63" i="22"/>
  <c r="S63" i="22" s="1"/>
  <c r="F63" i="22"/>
  <c r="F61" i="22"/>
  <c r="I59" i="22"/>
  <c r="F58" i="22"/>
  <c r="F57" i="22"/>
  <c r="F56" i="22"/>
  <c r="F55" i="22"/>
  <c r="F54" i="22"/>
  <c r="F53" i="22"/>
  <c r="F51" i="22"/>
  <c r="F49"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F22" i="22"/>
  <c r="M20" i="22"/>
  <c r="O20" i="22" s="1"/>
  <c r="F20" i="22"/>
  <c r="M19" i="22"/>
  <c r="O19" i="22" s="1"/>
  <c r="F19" i="22"/>
  <c r="M18" i="22"/>
  <c r="O18" i="22" s="1"/>
  <c r="F18" i="22"/>
  <c r="M17" i="22"/>
  <c r="O17" i="22" s="1"/>
  <c r="F17" i="22"/>
  <c r="M16" i="22"/>
  <c r="O16" i="22" s="1"/>
  <c r="F16" i="22"/>
  <c r="M15" i="22"/>
  <c r="O15" i="22" s="1"/>
  <c r="F15" i="22"/>
  <c r="M14" i="22"/>
  <c r="O14" i="22" s="1"/>
  <c r="F14" i="22"/>
  <c r="M13" i="22"/>
  <c r="O13" i="22" s="1"/>
  <c r="F13" i="22"/>
  <c r="F12" i="22"/>
  <c r="J12" i="19"/>
  <c r="I12" i="19"/>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12" i="15"/>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G87" i="21"/>
  <c r="G85" i="21"/>
  <c r="G81" i="21"/>
  <c r="G80" i="21"/>
  <c r="G79" i="21"/>
  <c r="G77" i="21"/>
  <c r="G76" i="21"/>
  <c r="G75" i="21"/>
  <c r="G74" i="21"/>
  <c r="G73" i="21"/>
  <c r="G72" i="21"/>
  <c r="G71" i="21"/>
  <c r="G70" i="21"/>
  <c r="G69" i="21"/>
  <c r="G67" i="21"/>
  <c r="G66" i="21"/>
  <c r="G65" i="21"/>
  <c r="G64" i="21"/>
  <c r="G63" i="21"/>
  <c r="G62" i="21"/>
  <c r="G61" i="2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A32" i="2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G31" i="21"/>
  <c r="G29" i="21"/>
  <c r="G28" i="21"/>
  <c r="G27" i="21"/>
  <c r="G26" i="21"/>
  <c r="G25" i="21"/>
  <c r="G24" i="21"/>
  <c r="G23" i="21"/>
  <c r="G22" i="21"/>
  <c r="G21" i="21"/>
  <c r="G20" i="21"/>
  <c r="G19" i="21"/>
  <c r="G18" i="21"/>
  <c r="G17" i="21"/>
  <c r="G16" i="21"/>
  <c r="G15" i="21"/>
  <c r="G14" i="21"/>
  <c r="G13" i="21"/>
  <c r="G12" i="21"/>
  <c r="I72" i="22" l="1"/>
  <c r="M32" i="22"/>
  <c r="O32" i="22" s="1"/>
  <c r="R32" i="22"/>
  <c r="S32" i="22" s="1"/>
  <c r="M71" i="22"/>
  <c r="O71" i="22" s="1"/>
  <c r="R71" i="22"/>
  <c r="S71" i="22" s="1"/>
  <c r="M52" i="22"/>
  <c r="O52" i="22" s="1"/>
  <c r="R52" i="22"/>
  <c r="S52" i="22" s="1"/>
  <c r="M26" i="22"/>
  <c r="O26" i="22" s="1"/>
  <c r="R26" i="22"/>
  <c r="S26" i="22" s="1"/>
  <c r="M30" i="22"/>
  <c r="O30" i="22" s="1"/>
  <c r="R30" i="22"/>
  <c r="S30" i="22" s="1"/>
  <c r="M34" i="22"/>
  <c r="O34" i="22" s="1"/>
  <c r="R34" i="22"/>
  <c r="S34" i="22" s="1"/>
  <c r="M38" i="22"/>
  <c r="O38" i="22" s="1"/>
  <c r="R38" i="22"/>
  <c r="S38" i="22" s="1"/>
  <c r="M42" i="22"/>
  <c r="O42" i="22" s="1"/>
  <c r="R42" i="22"/>
  <c r="S42" i="22" s="1"/>
  <c r="M46" i="22"/>
  <c r="O46" i="22" s="1"/>
  <c r="R46" i="22"/>
  <c r="S46" i="22" s="1"/>
  <c r="M51" i="22"/>
  <c r="O51" i="22" s="1"/>
  <c r="R51" i="22"/>
  <c r="S51" i="22" s="1"/>
  <c r="M60" i="22"/>
  <c r="O60" i="22" s="1"/>
  <c r="R60" i="22"/>
  <c r="S60" i="22" s="1"/>
  <c r="M69" i="22"/>
  <c r="O69" i="22" s="1"/>
  <c r="R69" i="22"/>
  <c r="S69" i="22" s="1"/>
  <c r="M24" i="22"/>
  <c r="O24" i="22" s="1"/>
  <c r="R24" i="22"/>
  <c r="S24" i="22" s="1"/>
  <c r="M44" i="22"/>
  <c r="O44" i="22" s="1"/>
  <c r="R44" i="22"/>
  <c r="S44" i="22" s="1"/>
  <c r="M66" i="22"/>
  <c r="O66" i="22" s="1"/>
  <c r="R66" i="22"/>
  <c r="S66" i="22" s="1"/>
  <c r="M23" i="22"/>
  <c r="O23" i="22" s="1"/>
  <c r="R23" i="22"/>
  <c r="S23" i="22" s="1"/>
  <c r="M31" i="22"/>
  <c r="O31" i="22" s="1"/>
  <c r="R31" i="22"/>
  <c r="S31" i="22" s="1"/>
  <c r="M43" i="22"/>
  <c r="O43" i="22" s="1"/>
  <c r="R43" i="22"/>
  <c r="S43" i="22" s="1"/>
  <c r="M61" i="22"/>
  <c r="O61" i="22" s="1"/>
  <c r="R61" i="22"/>
  <c r="S61" i="22" s="1"/>
  <c r="M65" i="22"/>
  <c r="O65" i="22" s="1"/>
  <c r="R65" i="22"/>
  <c r="S65" i="22" s="1"/>
  <c r="M22" i="22"/>
  <c r="O22" i="22" s="1"/>
  <c r="R22" i="22"/>
  <c r="M36" i="22"/>
  <c r="O36" i="22" s="1"/>
  <c r="R36" i="22"/>
  <c r="S36" i="22" s="1"/>
  <c r="M48" i="22"/>
  <c r="O48" i="22" s="1"/>
  <c r="R48" i="22"/>
  <c r="S48" i="22" s="1"/>
  <c r="M39" i="22"/>
  <c r="O39" i="22" s="1"/>
  <c r="R39" i="22"/>
  <c r="S39" i="22" s="1"/>
  <c r="M25" i="22"/>
  <c r="O25" i="22" s="1"/>
  <c r="R25" i="22"/>
  <c r="S25" i="22" s="1"/>
  <c r="M29" i="22"/>
  <c r="O29" i="22" s="1"/>
  <c r="R29" i="22"/>
  <c r="S29" i="22" s="1"/>
  <c r="M33" i="22"/>
  <c r="O33" i="22" s="1"/>
  <c r="R33" i="22"/>
  <c r="S33" i="22" s="1"/>
  <c r="M37" i="22"/>
  <c r="O37" i="22" s="1"/>
  <c r="R37" i="22"/>
  <c r="S37" i="22" s="1"/>
  <c r="M41" i="22"/>
  <c r="O41" i="22" s="1"/>
  <c r="R41" i="22"/>
  <c r="S41" i="22" s="1"/>
  <c r="M45" i="22"/>
  <c r="O45" i="22" s="1"/>
  <c r="R45" i="22"/>
  <c r="S45" i="22" s="1"/>
  <c r="M50" i="22"/>
  <c r="O50" i="22" s="1"/>
  <c r="R50" i="22"/>
  <c r="S50" i="22" s="1"/>
  <c r="M28" i="22"/>
  <c r="O28" i="22" s="1"/>
  <c r="R28" i="22"/>
  <c r="S28" i="22" s="1"/>
  <c r="M40" i="22"/>
  <c r="O40" i="22" s="1"/>
  <c r="R40" i="22"/>
  <c r="S40" i="22" s="1"/>
  <c r="M62" i="22"/>
  <c r="O62" i="22" s="1"/>
  <c r="R62" i="22"/>
  <c r="S62" i="22" s="1"/>
  <c r="M27" i="22"/>
  <c r="O27" i="22" s="1"/>
  <c r="R27" i="22"/>
  <c r="S27" i="22" s="1"/>
  <c r="M35" i="22"/>
  <c r="O35" i="22" s="1"/>
  <c r="R35" i="22"/>
  <c r="S35" i="22" s="1"/>
  <c r="M47" i="22"/>
  <c r="O47" i="22" s="1"/>
  <c r="R47" i="22"/>
  <c r="S47" i="22" s="1"/>
  <c r="M49" i="22"/>
  <c r="O49" i="22" s="1"/>
  <c r="R49" i="22"/>
  <c r="S49" i="22" s="1"/>
  <c r="M58" i="22"/>
  <c r="O58" i="22" s="1"/>
  <c r="R58" i="22"/>
  <c r="S58" i="22" s="1"/>
  <c r="M67" i="22"/>
  <c r="O67" i="22" s="1"/>
  <c r="R67" i="22"/>
  <c r="S67" i="22" s="1"/>
  <c r="M59" i="22"/>
  <c r="O59" i="22" s="1"/>
  <c r="M64" i="22"/>
  <c r="O64" i="22" s="1"/>
  <c r="M12" i="22"/>
  <c r="O12" i="22" s="1"/>
  <c r="M63" i="22"/>
  <c r="O63" i="22" s="1"/>
  <c r="N63" i="22"/>
  <c r="O53" i="22"/>
  <c r="O57" i="22"/>
  <c r="O55" i="22"/>
  <c r="M70" i="22"/>
  <c r="O70" i="22" s="1"/>
  <c r="O56" i="22"/>
  <c r="O54" i="22"/>
  <c r="M68" i="22"/>
  <c r="O68" i="22" s="1"/>
  <c r="N15" i="22"/>
  <c r="N31" i="22"/>
  <c r="N43" i="22"/>
  <c r="N47" i="22"/>
  <c r="N14" i="22"/>
  <c r="N26" i="22"/>
  <c r="N30" i="22"/>
  <c r="N38" i="22"/>
  <c r="N42" i="22"/>
  <c r="N51" i="22"/>
  <c r="N69" i="22"/>
  <c r="N13" i="22"/>
  <c r="N17" i="22"/>
  <c r="N25" i="22"/>
  <c r="N29" i="22"/>
  <c r="N33" i="22"/>
  <c r="N37" i="22"/>
  <c r="N41" i="22"/>
  <c r="N45" i="22"/>
  <c r="N50" i="22"/>
  <c r="N16" i="22"/>
  <c r="N20" i="22"/>
  <c r="N49" i="22"/>
  <c r="N58" i="22"/>
  <c r="N67" i="22"/>
  <c r="N24" i="22"/>
  <c r="N28" i="22"/>
  <c r="N32" i="22"/>
  <c r="N36" i="22"/>
  <c r="N40" i="22"/>
  <c r="N44" i="22"/>
  <c r="N71" i="22"/>
  <c r="N19" i="22"/>
  <c r="N48" i="22"/>
  <c r="N66" i="22"/>
  <c r="N23" i="22"/>
  <c r="N39" i="22"/>
  <c r="N61" i="22"/>
  <c r="N65" i="22"/>
  <c r="N34" i="22"/>
  <c r="N22" i="22"/>
  <c r="N62" i="22"/>
  <c r="N35" i="22"/>
  <c r="N18" i="22"/>
  <c r="N52" i="22"/>
  <c r="N46" i="22"/>
  <c r="N27" i="22"/>
  <c r="N60" i="22"/>
  <c r="F20" i="14"/>
  <c r="H20" i="19" s="1"/>
  <c r="F19" i="14"/>
  <c r="H19" i="19" s="1"/>
  <c r="F18" i="14"/>
  <c r="H18" i="19" s="1"/>
  <c r="H12" i="19"/>
  <c r="H13" i="19"/>
  <c r="H14" i="19"/>
  <c r="H15" i="19"/>
  <c r="H16" i="19"/>
  <c r="H17" i="19"/>
  <c r="H21"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I87" i="19"/>
  <c r="G87" i="19"/>
  <c r="F87" i="19"/>
  <c r="I86" i="19"/>
  <c r="G86" i="19"/>
  <c r="I85" i="19"/>
  <c r="G85" i="19"/>
  <c r="I84" i="19"/>
  <c r="G84" i="19"/>
  <c r="I83" i="19"/>
  <c r="G83" i="19"/>
  <c r="I82" i="19"/>
  <c r="G82" i="19"/>
  <c r="I81" i="19"/>
  <c r="G81" i="19"/>
  <c r="F81" i="19"/>
  <c r="I80" i="19"/>
  <c r="G80" i="19"/>
  <c r="F80" i="19"/>
  <c r="I79" i="19"/>
  <c r="G79" i="19"/>
  <c r="F79" i="19"/>
  <c r="I78" i="19"/>
  <c r="G78" i="19"/>
  <c r="I77" i="19"/>
  <c r="G77" i="19"/>
  <c r="F77" i="19"/>
  <c r="I76" i="19"/>
  <c r="G76" i="19"/>
  <c r="F76" i="19"/>
  <c r="I75" i="19"/>
  <c r="G75" i="19"/>
  <c r="F75" i="19"/>
  <c r="I74" i="19"/>
  <c r="G74" i="19"/>
  <c r="F74" i="19"/>
  <c r="I73" i="19"/>
  <c r="G73" i="19"/>
  <c r="I72" i="19"/>
  <c r="G72" i="19"/>
  <c r="F72" i="19"/>
  <c r="I71" i="19"/>
  <c r="G71" i="19"/>
  <c r="I70" i="19"/>
  <c r="G70" i="19"/>
  <c r="F70" i="19"/>
  <c r="I69" i="19"/>
  <c r="G69" i="19"/>
  <c r="I68" i="19"/>
  <c r="G68" i="19"/>
  <c r="I67" i="19"/>
  <c r="G67" i="19"/>
  <c r="F67" i="19"/>
  <c r="I66" i="19"/>
  <c r="G66" i="19"/>
  <c r="F66" i="19"/>
  <c r="I65" i="19"/>
  <c r="G65" i="19"/>
  <c r="F65" i="19"/>
  <c r="I64" i="19"/>
  <c r="G64" i="19"/>
  <c r="F64" i="19"/>
  <c r="I63" i="19"/>
  <c r="G63" i="19"/>
  <c r="F63" i="19"/>
  <c r="I62" i="19"/>
  <c r="G62" i="19"/>
  <c r="F62" i="19"/>
  <c r="I61" i="19"/>
  <c r="G61" i="19"/>
  <c r="I60" i="19"/>
  <c r="G60" i="19"/>
  <c r="F60" i="19"/>
  <c r="I59" i="19"/>
  <c r="G59" i="19"/>
  <c r="I58" i="19"/>
  <c r="G58" i="19"/>
  <c r="F58" i="19"/>
  <c r="I57" i="19"/>
  <c r="G57" i="19"/>
  <c r="I56" i="19"/>
  <c r="G56" i="19"/>
  <c r="F56" i="19"/>
  <c r="I55" i="19"/>
  <c r="G55" i="19"/>
  <c r="F55" i="19"/>
  <c r="I54" i="19"/>
  <c r="G54" i="19"/>
  <c r="F54" i="19"/>
  <c r="I53" i="19"/>
  <c r="G53" i="19"/>
  <c r="F53" i="19"/>
  <c r="I52" i="19"/>
  <c r="G52" i="19"/>
  <c r="F52" i="19"/>
  <c r="I51" i="19"/>
  <c r="G51" i="19"/>
  <c r="F51" i="19"/>
  <c r="I50" i="19"/>
  <c r="G50" i="19"/>
  <c r="F50" i="19"/>
  <c r="I49" i="19"/>
  <c r="G49" i="19"/>
  <c r="F49" i="19"/>
  <c r="I48" i="19"/>
  <c r="G48" i="19"/>
  <c r="F48" i="19"/>
  <c r="I47" i="19"/>
  <c r="G47" i="19"/>
  <c r="F47" i="19"/>
  <c r="I46" i="19"/>
  <c r="G46" i="19"/>
  <c r="F46" i="19"/>
  <c r="I45" i="19"/>
  <c r="G45" i="19"/>
  <c r="F45" i="19"/>
  <c r="I44" i="19"/>
  <c r="G44" i="19"/>
  <c r="F44" i="19"/>
  <c r="I43" i="19"/>
  <c r="G43" i="19"/>
  <c r="F43" i="19"/>
  <c r="I42" i="19"/>
  <c r="G42" i="19"/>
  <c r="F42" i="19"/>
  <c r="I41" i="19"/>
  <c r="G41" i="19"/>
  <c r="F41" i="19"/>
  <c r="I40" i="19"/>
  <c r="G40" i="19"/>
  <c r="F40" i="19"/>
  <c r="I39" i="19"/>
  <c r="G39" i="19"/>
  <c r="F39" i="19"/>
  <c r="I38" i="19"/>
  <c r="G38" i="19"/>
  <c r="F38" i="19"/>
  <c r="I37" i="19"/>
  <c r="G37" i="19"/>
  <c r="F37" i="19"/>
  <c r="I36" i="19"/>
  <c r="G36" i="19"/>
  <c r="F36" i="19"/>
  <c r="I35" i="19"/>
  <c r="G35" i="19"/>
  <c r="F35" i="19"/>
  <c r="I34" i="19"/>
  <c r="G34" i="19"/>
  <c r="F34" i="19"/>
  <c r="I33" i="19"/>
  <c r="G33" i="19"/>
  <c r="F33" i="19"/>
  <c r="I32" i="19"/>
  <c r="G32" i="19"/>
  <c r="F32" i="19"/>
  <c r="A32" i="19"/>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I31" i="19"/>
  <c r="G31" i="19"/>
  <c r="F31" i="19"/>
  <c r="I30" i="19"/>
  <c r="G30" i="19"/>
  <c r="I29" i="19"/>
  <c r="G29" i="19"/>
  <c r="F29" i="19"/>
  <c r="I28" i="19"/>
  <c r="G28" i="19"/>
  <c r="F28" i="19"/>
  <c r="I27" i="19"/>
  <c r="G27" i="19"/>
  <c r="F27" i="19"/>
  <c r="I26" i="19"/>
  <c r="G26" i="19"/>
  <c r="F26" i="19"/>
  <c r="I25" i="19"/>
  <c r="G25" i="19"/>
  <c r="F25" i="19"/>
  <c r="I24" i="19"/>
  <c r="G24" i="19"/>
  <c r="F24" i="19"/>
  <c r="I23" i="19"/>
  <c r="G23" i="19"/>
  <c r="F23" i="19"/>
  <c r="I22" i="19"/>
  <c r="G22" i="19"/>
  <c r="F22" i="19"/>
  <c r="I21" i="19"/>
  <c r="G21" i="19"/>
  <c r="F21" i="19"/>
  <c r="I20" i="19"/>
  <c r="G20" i="19"/>
  <c r="F20" i="19"/>
  <c r="I19" i="19"/>
  <c r="G19" i="19"/>
  <c r="F19" i="19"/>
  <c r="I18" i="19"/>
  <c r="G18" i="19"/>
  <c r="F18" i="19"/>
  <c r="I17" i="19"/>
  <c r="G17" i="19"/>
  <c r="F17" i="19"/>
  <c r="I16" i="19"/>
  <c r="G16" i="19"/>
  <c r="F16" i="19"/>
  <c r="I15" i="19"/>
  <c r="G15" i="19"/>
  <c r="F15" i="19"/>
  <c r="I14" i="19"/>
  <c r="G14" i="19"/>
  <c r="F14" i="19"/>
  <c r="I13" i="19"/>
  <c r="G13" i="19"/>
  <c r="F13" i="19"/>
  <c r="J89" i="19"/>
  <c r="G12" i="19"/>
  <c r="F12" i="19"/>
  <c r="S22" i="22" l="1"/>
  <c r="S72" i="22" s="1"/>
  <c r="R72" i="22"/>
  <c r="O72" i="22"/>
  <c r="O75" i="22" s="1"/>
  <c r="O76" i="22" s="1"/>
  <c r="N72" i="22"/>
  <c r="N75" i="22" s="1"/>
  <c r="N76" i="22" s="1"/>
  <c r="N77" i="22" s="1"/>
  <c r="N78" i="22" s="1"/>
  <c r="I89" i="19"/>
  <c r="G89" i="19"/>
  <c r="K41" i="19"/>
  <c r="L41" i="19" s="1"/>
  <c r="K33" i="19"/>
  <c r="L33" i="19" s="1"/>
  <c r="K43" i="19"/>
  <c r="L43" i="19" s="1"/>
  <c r="K51" i="19"/>
  <c r="L51" i="19" s="1"/>
  <c r="K52" i="19"/>
  <c r="L52" i="19" s="1"/>
  <c r="K14" i="19"/>
  <c r="L14" i="19" s="1"/>
  <c r="K34" i="19"/>
  <c r="L34" i="19" s="1"/>
  <c r="K35" i="19"/>
  <c r="L35" i="19" s="1"/>
  <c r="K60" i="19"/>
  <c r="L60" i="19" s="1"/>
  <c r="K59" i="19"/>
  <c r="L59" i="19" s="1"/>
  <c r="K87" i="19"/>
  <c r="L87" i="19" s="1"/>
  <c r="K13" i="19"/>
  <c r="L13" i="19" s="1"/>
  <c r="K50" i="19"/>
  <c r="L50" i="19" s="1"/>
  <c r="K58" i="19"/>
  <c r="L58" i="19" s="1"/>
  <c r="K71" i="19"/>
  <c r="L71" i="19" s="1"/>
  <c r="K19" i="19"/>
  <c r="L19" i="19" s="1"/>
  <c r="K44" i="19"/>
  <c r="L44" i="19" s="1"/>
  <c r="K46" i="19"/>
  <c r="L46" i="19" s="1"/>
  <c r="K73" i="19"/>
  <c r="L73" i="19" s="1"/>
  <c r="K75" i="19"/>
  <c r="L75" i="19" s="1"/>
  <c r="K36" i="19"/>
  <c r="L36" i="19" s="1"/>
  <c r="K38" i="19"/>
  <c r="L38" i="19" s="1"/>
  <c r="K40" i="19"/>
  <c r="L40" i="19" s="1"/>
  <c r="K53" i="19"/>
  <c r="L53" i="19" s="1"/>
  <c r="K55" i="19"/>
  <c r="L55" i="19" s="1"/>
  <c r="K86" i="19"/>
  <c r="L86" i="19" s="1"/>
  <c r="K21" i="19"/>
  <c r="L21" i="19" s="1"/>
  <c r="K29" i="19"/>
  <c r="L29" i="19" s="1"/>
  <c r="K48" i="19"/>
  <c r="L48" i="19" s="1"/>
  <c r="K49" i="19"/>
  <c r="L49" i="19" s="1"/>
  <c r="K17" i="19"/>
  <c r="L17" i="19" s="1"/>
  <c r="K42" i="19"/>
  <c r="L42" i="19" s="1"/>
  <c r="K15" i="19"/>
  <c r="L15" i="19" s="1"/>
  <c r="K39" i="19"/>
  <c r="L39" i="19" s="1"/>
  <c r="K54" i="19"/>
  <c r="L54" i="19" s="1"/>
  <c r="K62" i="19"/>
  <c r="L62" i="19" s="1"/>
  <c r="K83" i="19"/>
  <c r="L83" i="19" s="1"/>
  <c r="K24" i="19"/>
  <c r="L24" i="19" s="1"/>
  <c r="K30" i="19"/>
  <c r="L30" i="19" s="1"/>
  <c r="K76" i="19"/>
  <c r="L76" i="19" s="1"/>
  <c r="K16" i="19"/>
  <c r="L16" i="19" s="1"/>
  <c r="K45" i="19"/>
  <c r="L45" i="19" s="1"/>
  <c r="K47" i="19"/>
  <c r="L47" i="19" s="1"/>
  <c r="K85" i="19"/>
  <c r="L85" i="19" s="1"/>
  <c r="K56" i="19"/>
  <c r="L56" i="19" s="1"/>
  <c r="K32" i="19"/>
  <c r="L32" i="19" s="1"/>
  <c r="K67" i="19"/>
  <c r="L67" i="19" s="1"/>
  <c r="K82" i="19"/>
  <c r="L82" i="19" s="1"/>
  <c r="K37" i="19"/>
  <c r="L37" i="19" s="1"/>
  <c r="K12" i="19"/>
  <c r="K23" i="19"/>
  <c r="L23" i="19" s="1"/>
  <c r="K31" i="19"/>
  <c r="L31" i="19" s="1"/>
  <c r="K69" i="19"/>
  <c r="L69" i="19" s="1"/>
  <c r="K77" i="19"/>
  <c r="L77" i="19" s="1"/>
  <c r="K70" i="19"/>
  <c r="L70" i="19" s="1"/>
  <c r="K20" i="19"/>
  <c r="L20" i="19" s="1"/>
  <c r="K25" i="19"/>
  <c r="L25" i="19" s="1"/>
  <c r="K65" i="19"/>
  <c r="L65" i="19" s="1"/>
  <c r="K80" i="19"/>
  <c r="L80" i="19" s="1"/>
  <c r="K18" i="19"/>
  <c r="L18" i="19" s="1"/>
  <c r="K57" i="19"/>
  <c r="L57" i="19" s="1"/>
  <c r="K63" i="19"/>
  <c r="L63" i="19" s="1"/>
  <c r="K68" i="19"/>
  <c r="L68" i="19" s="1"/>
  <c r="K74" i="19"/>
  <c r="L74" i="19" s="1"/>
  <c r="K78" i="19"/>
  <c r="L78" i="19" s="1"/>
  <c r="K26" i="19"/>
  <c r="L26" i="19" s="1"/>
  <c r="K66" i="19"/>
  <c r="L66" i="19" s="1"/>
  <c r="K72" i="19"/>
  <c r="L72" i="19" s="1"/>
  <c r="K81" i="19"/>
  <c r="L81" i="19" s="1"/>
  <c r="K84" i="19"/>
  <c r="L84" i="19" s="1"/>
  <c r="K28" i="19"/>
  <c r="L28" i="19" s="1"/>
  <c r="K61" i="19"/>
  <c r="L61" i="19" s="1"/>
  <c r="K64" i="19"/>
  <c r="L64" i="19" s="1"/>
  <c r="K79" i="19"/>
  <c r="L79" i="19" s="1"/>
  <c r="K27" i="19"/>
  <c r="L27" i="19" s="1"/>
  <c r="L12" i="19" l="1"/>
  <c r="I12" i="15"/>
  <c r="I13" i="15"/>
  <c r="I14" i="15"/>
  <c r="I15" i="15"/>
  <c r="I16" i="15"/>
  <c r="I17" i="15"/>
  <c r="I18" i="15"/>
  <c r="I19" i="15"/>
  <c r="I20" i="15"/>
  <c r="I21"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12" i="15"/>
  <c r="G85" i="17"/>
  <c r="G83" i="17"/>
  <c r="G79" i="17"/>
  <c r="G78" i="17"/>
  <c r="G77" i="17"/>
  <c r="G75" i="17"/>
  <c r="G74" i="17"/>
  <c r="G73" i="17"/>
  <c r="G72" i="17"/>
  <c r="G71" i="17"/>
  <c r="G70" i="17"/>
  <c r="G69"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A32" i="17"/>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G31" i="17"/>
  <c r="G29" i="17"/>
  <c r="G28" i="17"/>
  <c r="G27" i="17"/>
  <c r="G26" i="17"/>
  <c r="G25" i="17"/>
  <c r="G24" i="17"/>
  <c r="G23" i="17"/>
  <c r="G22" i="17"/>
  <c r="G21" i="17"/>
  <c r="G20" i="17"/>
  <c r="G19" i="17"/>
  <c r="G18" i="17"/>
  <c r="G17" i="17"/>
  <c r="G16" i="17"/>
  <c r="G15" i="17"/>
  <c r="G14" i="17"/>
  <c r="G13" i="17"/>
  <c r="G12" i="17"/>
  <c r="O77" i="22" l="1"/>
  <c r="O78" i="22" s="1"/>
  <c r="F22" i="14"/>
  <c r="U72" i="22" l="1"/>
  <c r="H22" i="19"/>
  <c r="I22" i="15"/>
  <c r="H13" i="15"/>
  <c r="L13" i="15" s="1"/>
  <c r="H14" i="15"/>
  <c r="L14" i="15" s="1"/>
  <c r="H15" i="15"/>
  <c r="H16" i="15"/>
  <c r="H17" i="15"/>
  <c r="H18" i="15"/>
  <c r="H19" i="15"/>
  <c r="H20" i="15"/>
  <c r="L20" i="15" s="1"/>
  <c r="H21" i="15"/>
  <c r="L21" i="15" s="1"/>
  <c r="H22" i="15"/>
  <c r="H23" i="15"/>
  <c r="H24" i="15"/>
  <c r="H25" i="15"/>
  <c r="H26" i="15"/>
  <c r="H27" i="15"/>
  <c r="H28" i="15"/>
  <c r="L28" i="15" s="1"/>
  <c r="H29" i="15"/>
  <c r="L29" i="15" s="1"/>
  <c r="H30" i="15"/>
  <c r="L30" i="15" s="1"/>
  <c r="H31" i="15"/>
  <c r="H32" i="15"/>
  <c r="H33" i="15"/>
  <c r="H34" i="15"/>
  <c r="H35" i="15"/>
  <c r="H36" i="15"/>
  <c r="L36" i="15" s="1"/>
  <c r="H37" i="15"/>
  <c r="L37" i="15" s="1"/>
  <c r="H38" i="15"/>
  <c r="L38" i="15" s="1"/>
  <c r="H39" i="15"/>
  <c r="H40" i="15"/>
  <c r="H41" i="15"/>
  <c r="H42" i="15"/>
  <c r="H43" i="15"/>
  <c r="H44" i="15"/>
  <c r="L44" i="15" s="1"/>
  <c r="H45" i="15"/>
  <c r="L45" i="15" s="1"/>
  <c r="H46" i="15"/>
  <c r="L46" i="15" s="1"/>
  <c r="H47" i="15"/>
  <c r="H48" i="15"/>
  <c r="H49" i="15"/>
  <c r="H50" i="15"/>
  <c r="H51" i="15"/>
  <c r="H52" i="15"/>
  <c r="L52" i="15" s="1"/>
  <c r="H53" i="15"/>
  <c r="L53" i="15" s="1"/>
  <c r="H54" i="15"/>
  <c r="L54" i="15" s="1"/>
  <c r="H55" i="15"/>
  <c r="H56" i="15"/>
  <c r="H57" i="15"/>
  <c r="H58" i="15"/>
  <c r="H59" i="15"/>
  <c r="H60" i="15"/>
  <c r="L60" i="15" s="1"/>
  <c r="H61" i="15"/>
  <c r="L61" i="15" s="1"/>
  <c r="H62" i="15"/>
  <c r="H63" i="15"/>
  <c r="H64" i="15"/>
  <c r="H65" i="15"/>
  <c r="H66" i="15"/>
  <c r="H67" i="15"/>
  <c r="H68" i="15"/>
  <c r="L68" i="15" s="1"/>
  <c r="H69" i="15"/>
  <c r="L69" i="15" s="1"/>
  <c r="H70" i="15"/>
  <c r="H71" i="15"/>
  <c r="H72" i="15"/>
  <c r="H73" i="15"/>
  <c r="H74" i="15"/>
  <c r="H75" i="15"/>
  <c r="H76" i="15"/>
  <c r="L76" i="15" s="1"/>
  <c r="H77" i="15"/>
  <c r="L77" i="15" s="1"/>
  <c r="H78" i="15"/>
  <c r="H79" i="15"/>
  <c r="H80" i="15"/>
  <c r="H81" i="15"/>
  <c r="H82" i="15"/>
  <c r="H83" i="15"/>
  <c r="H84" i="15"/>
  <c r="L84" i="15" s="1"/>
  <c r="H85" i="15"/>
  <c r="L85" i="15" s="1"/>
  <c r="H86" i="15"/>
  <c r="H87" i="15"/>
  <c r="H12" i="15"/>
  <c r="L22" i="15" l="1"/>
  <c r="M22" i="15" s="1"/>
  <c r="K22" i="19"/>
  <c r="L22" i="19" s="1"/>
  <c r="L89" i="19" s="1"/>
  <c r="H89" i="19"/>
  <c r="L86" i="15"/>
  <c r="M86" i="15" s="1"/>
  <c r="L70" i="15"/>
  <c r="M70" i="15" s="1"/>
  <c r="L81" i="15"/>
  <c r="M81" i="15" s="1"/>
  <c r="L73" i="15"/>
  <c r="M73" i="15" s="1"/>
  <c r="L65" i="15"/>
  <c r="M65" i="15" s="1"/>
  <c r="L57" i="15"/>
  <c r="M57" i="15" s="1"/>
  <c r="L49" i="15"/>
  <c r="M49" i="15" s="1"/>
  <c r="L41" i="15"/>
  <c r="M41" i="15" s="1"/>
  <c r="L33" i="15"/>
  <c r="M33" i="15" s="1"/>
  <c r="L25" i="15"/>
  <c r="M25" i="15" s="1"/>
  <c r="L17" i="15"/>
  <c r="M17" i="15" s="1"/>
  <c r="L78" i="15"/>
  <c r="M78" i="15" s="1"/>
  <c r="L66" i="15"/>
  <c r="M66" i="15" s="1"/>
  <c r="L26" i="15"/>
  <c r="M26" i="15" s="1"/>
  <c r="L18" i="15"/>
  <c r="M18" i="15" s="1"/>
  <c r="L12" i="15"/>
  <c r="M12" i="15" s="1"/>
  <c r="L64" i="15"/>
  <c r="M64" i="15" s="1"/>
  <c r="L56" i="15"/>
  <c r="M56" i="15" s="1"/>
  <c r="L48" i="15"/>
  <c r="M48" i="15" s="1"/>
  <c r="L40" i="15"/>
  <c r="M40" i="15" s="1"/>
  <c r="L32" i="15"/>
  <c r="M32" i="15" s="1"/>
  <c r="L24" i="15"/>
  <c r="M24" i="15" s="1"/>
  <c r="L16" i="15"/>
  <c r="M16" i="15" s="1"/>
  <c r="L82" i="15"/>
  <c r="M82" i="15" s="1"/>
  <c r="L74" i="15"/>
  <c r="M74" i="15" s="1"/>
  <c r="L62" i="15"/>
  <c r="M62" i="15" s="1"/>
  <c r="L58" i="15"/>
  <c r="M58" i="15" s="1"/>
  <c r="L50" i="15"/>
  <c r="M50" i="15" s="1"/>
  <c r="L42" i="15"/>
  <c r="M42" i="15" s="1"/>
  <c r="L34" i="15"/>
  <c r="M34" i="15" s="1"/>
  <c r="L80" i="15"/>
  <c r="M80" i="15" s="1"/>
  <c r="L72" i="15"/>
  <c r="M72" i="15" s="1"/>
  <c r="L87" i="15"/>
  <c r="M87" i="15" s="1"/>
  <c r="L83" i="15"/>
  <c r="M83" i="15" s="1"/>
  <c r="L79" i="15"/>
  <c r="M79" i="15" s="1"/>
  <c r="L75" i="15"/>
  <c r="M75" i="15" s="1"/>
  <c r="L71" i="15"/>
  <c r="M71" i="15" s="1"/>
  <c r="L67" i="15"/>
  <c r="M67" i="15" s="1"/>
  <c r="L63" i="15"/>
  <c r="M63" i="15" s="1"/>
  <c r="L59" i="15"/>
  <c r="M59" i="15" s="1"/>
  <c r="L55" i="15"/>
  <c r="M55" i="15" s="1"/>
  <c r="L51" i="15"/>
  <c r="M51" i="15" s="1"/>
  <c r="L47" i="15"/>
  <c r="M47" i="15" s="1"/>
  <c r="L43" i="15"/>
  <c r="M43" i="15" s="1"/>
  <c r="L39" i="15"/>
  <c r="M39" i="15" s="1"/>
  <c r="L35" i="15"/>
  <c r="M35" i="15" s="1"/>
  <c r="L31" i="15"/>
  <c r="M31" i="15" s="1"/>
  <c r="L27" i="15"/>
  <c r="M27" i="15" s="1"/>
  <c r="L23" i="15"/>
  <c r="M23" i="15" s="1"/>
  <c r="L19" i="15"/>
  <c r="M19" i="15" s="1"/>
  <c r="L15" i="15"/>
  <c r="M15" i="15" s="1"/>
  <c r="M84" i="15"/>
  <c r="M76" i="15"/>
  <c r="M68" i="15"/>
  <c r="M60" i="15"/>
  <c r="M52" i="15"/>
  <c r="M44" i="15"/>
  <c r="M36" i="15"/>
  <c r="M28" i="15"/>
  <c r="M20" i="15"/>
  <c r="M85" i="15"/>
  <c r="M77" i="15"/>
  <c r="M69" i="15"/>
  <c r="M61" i="15"/>
  <c r="M53" i="15"/>
  <c r="M45" i="15"/>
  <c r="M37" i="15"/>
  <c r="M29" i="15"/>
  <c r="M21" i="15"/>
  <c r="M13" i="15"/>
  <c r="M54" i="15"/>
  <c r="M46" i="15"/>
  <c r="M38" i="15"/>
  <c r="M30" i="15"/>
  <c r="M14" i="15"/>
  <c r="K89" i="19" l="1"/>
  <c r="M89" i="15"/>
  <c r="G87" i="15"/>
  <c r="G81" i="15"/>
  <c r="G80" i="15"/>
  <c r="G79" i="15"/>
  <c r="G77" i="15"/>
  <c r="G76" i="15"/>
  <c r="G75" i="15"/>
  <c r="G74" i="15"/>
  <c r="G72" i="15"/>
  <c r="G70" i="15"/>
  <c r="G67" i="15"/>
  <c r="G66" i="15"/>
  <c r="G65" i="15"/>
  <c r="G64" i="15"/>
  <c r="G63" i="15"/>
  <c r="G62" i="15"/>
  <c r="G60" i="15"/>
  <c r="G58"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G31" i="15"/>
  <c r="G29" i="15"/>
  <c r="G28" i="15"/>
  <c r="G27" i="15"/>
  <c r="G26" i="15"/>
  <c r="G25" i="15"/>
  <c r="G24" i="15"/>
  <c r="G23" i="15"/>
  <c r="G22" i="15"/>
  <c r="G21" i="15"/>
  <c r="G20" i="15"/>
  <c r="G19" i="15"/>
  <c r="G18" i="15"/>
  <c r="G17" i="15"/>
  <c r="G16" i="15"/>
  <c r="G15" i="15"/>
  <c r="G14" i="15"/>
  <c r="G13" i="15"/>
  <c r="G12" i="15"/>
  <c r="G87" i="14"/>
  <c r="G85" i="14"/>
  <c r="G81" i="14"/>
  <c r="G80" i="14"/>
  <c r="G79" i="14"/>
  <c r="G77" i="14"/>
  <c r="G76" i="14"/>
  <c r="G75" i="14"/>
  <c r="G74" i="14"/>
  <c r="G73" i="14"/>
  <c r="G72" i="14"/>
  <c r="G71" i="14"/>
  <c r="G70" i="14"/>
  <c r="G69"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A32" i="14"/>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G31" i="14"/>
  <c r="G29" i="14"/>
  <c r="G28" i="14"/>
  <c r="G27" i="14"/>
  <c r="G26" i="14"/>
  <c r="G25" i="14"/>
  <c r="G24" i="14"/>
  <c r="G23" i="14"/>
  <c r="G22" i="14"/>
  <c r="G21" i="14"/>
  <c r="G20" i="14"/>
  <c r="G19" i="14"/>
  <c r="G18" i="14"/>
  <c r="G17" i="14"/>
  <c r="G16" i="14"/>
  <c r="G15" i="14"/>
  <c r="G14" i="14"/>
  <c r="G13" i="14"/>
  <c r="G12" i="14"/>
  <c r="G87" i="9" l="1"/>
  <c r="G34" i="9"/>
  <c r="G37" i="9"/>
  <c r="G38" i="9"/>
  <c r="G39" i="9"/>
  <c r="G40" i="9"/>
  <c r="G41" i="9"/>
  <c r="G42" i="9"/>
  <c r="G43" i="9"/>
  <c r="G44" i="9"/>
  <c r="G32" i="9"/>
  <c r="G36" i="9"/>
  <c r="G35" i="9"/>
  <c r="G33" i="9"/>
  <c r="G31" i="9"/>
  <c r="G46" i="9"/>
  <c r="G66" i="9"/>
  <c r="G62" i="9"/>
  <c r="G81" i="9"/>
  <c r="G80" i="9"/>
  <c r="G79" i="9"/>
  <c r="G70" i="9"/>
  <c r="G72" i="9"/>
  <c r="G74" i="9"/>
  <c r="G75" i="9"/>
  <c r="G76" i="9"/>
  <c r="G77" i="9"/>
  <c r="G67" i="9"/>
  <c r="G45" i="9"/>
  <c r="G47" i="9"/>
  <c r="G48" i="9"/>
  <c r="G49" i="9"/>
  <c r="G50" i="9"/>
  <c r="G51" i="9"/>
  <c r="G52" i="9"/>
  <c r="G53" i="9"/>
  <c r="G54" i="9"/>
  <c r="G55" i="9"/>
  <c r="G56" i="9"/>
  <c r="G58" i="9"/>
  <c r="G60" i="9"/>
  <c r="G63" i="9"/>
  <c r="G64" i="9"/>
  <c r="G65" i="9"/>
  <c r="G29" i="9"/>
  <c r="G28" i="9"/>
  <c r="G27" i="9"/>
  <c r="G26" i="9"/>
  <c r="G25" i="9"/>
  <c r="G24" i="9"/>
  <c r="G23" i="9"/>
  <c r="G22" i="9"/>
  <c r="G13" i="9"/>
  <c r="G14" i="9"/>
  <c r="G15" i="9"/>
  <c r="G16" i="9"/>
  <c r="G17" i="9"/>
  <c r="G18" i="9"/>
  <c r="G19" i="9"/>
  <c r="G20" i="9"/>
  <c r="G21" i="9"/>
  <c r="G12" i="9"/>
  <c r="A32" i="9"/>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P52" i="8"/>
  <c r="Q52" i="8" s="1"/>
  <c r="R52" i="8" s="1"/>
  <c r="L52" i="8"/>
  <c r="M52" i="8" s="1"/>
  <c r="N52" i="8" s="1"/>
  <c r="H52" i="8"/>
  <c r="I52" i="8" s="1"/>
  <c r="J52" i="8" s="1"/>
  <c r="P51" i="8"/>
  <c r="Q51" i="8" s="1"/>
  <c r="R51" i="8" s="1"/>
  <c r="L51" i="8"/>
  <c r="M51" i="8"/>
  <c r="N51" i="8" s="1"/>
  <c r="H51" i="8"/>
  <c r="I51" i="8" s="1"/>
  <c r="J51" i="8" s="1"/>
  <c r="P50" i="8"/>
  <c r="Q50" i="8" s="1"/>
  <c r="R50" i="8" s="1"/>
  <c r="L50" i="8"/>
  <c r="M50" i="8" s="1"/>
  <c r="N50" i="8" s="1"/>
  <c r="H50" i="8"/>
  <c r="I50" i="8" s="1"/>
  <c r="J50" i="8" s="1"/>
  <c r="P49" i="8"/>
  <c r="Q49" i="8" s="1"/>
  <c r="R49" i="8"/>
  <c r="L49" i="8"/>
  <c r="M49" i="8" s="1"/>
  <c r="N49" i="8" s="1"/>
  <c r="H49" i="8"/>
  <c r="I49" i="8" s="1"/>
  <c r="J49" i="8" s="1"/>
  <c r="P48" i="8"/>
  <c r="Q48" i="8" s="1"/>
  <c r="R48" i="8" s="1"/>
  <c r="L48" i="8"/>
  <c r="M48" i="8" s="1"/>
  <c r="N48" i="8" s="1"/>
  <c r="H48" i="8"/>
  <c r="I48" i="8" s="1"/>
  <c r="J48" i="8" s="1"/>
  <c r="P47" i="8"/>
  <c r="Q47" i="8" s="1"/>
  <c r="R47" i="8" s="1"/>
  <c r="L47" i="8"/>
  <c r="M47" i="8" s="1"/>
  <c r="N47" i="8" s="1"/>
  <c r="H47" i="8"/>
  <c r="I47" i="8" s="1"/>
  <c r="J47" i="8" s="1"/>
  <c r="P46" i="8"/>
  <c r="Q46" i="8" s="1"/>
  <c r="R46" i="8" s="1"/>
  <c r="L46" i="8"/>
  <c r="M46" i="8" s="1"/>
  <c r="N46" i="8" s="1"/>
  <c r="H46" i="8"/>
  <c r="I46" i="8" s="1"/>
  <c r="J46" i="8" s="1"/>
  <c r="P45" i="8"/>
  <c r="Q45" i="8" s="1"/>
  <c r="R45" i="8" s="1"/>
  <c r="L45" i="8"/>
  <c r="M45" i="8" s="1"/>
  <c r="N45" i="8" s="1"/>
  <c r="H45" i="8"/>
  <c r="I45" i="8" s="1"/>
  <c r="J45" i="8" s="1"/>
  <c r="O44" i="8"/>
  <c r="P44" i="8" s="1"/>
  <c r="Q44" i="8" s="1"/>
  <c r="R44" i="8" s="1"/>
  <c r="L44" i="8"/>
  <c r="M44" i="8" s="1"/>
  <c r="N44" i="8" s="1"/>
  <c r="S44" i="8" s="1"/>
  <c r="H44" i="8"/>
  <c r="I44" i="8" s="1"/>
  <c r="J44" i="8" s="1"/>
  <c r="O43" i="8"/>
  <c r="P43" i="8" s="1"/>
  <c r="Q43" i="8" s="1"/>
  <c r="R43" i="8" s="1"/>
  <c r="L43" i="8"/>
  <c r="M43" i="8" s="1"/>
  <c r="N43" i="8" s="1"/>
  <c r="H43" i="8"/>
  <c r="I43" i="8" s="1"/>
  <c r="J43" i="8" s="1"/>
  <c r="O42" i="8"/>
  <c r="P42" i="8" s="1"/>
  <c r="Q42" i="8" s="1"/>
  <c r="R42" i="8" s="1"/>
  <c r="L42" i="8"/>
  <c r="M42" i="8" s="1"/>
  <c r="N42" i="8" s="1"/>
  <c r="H42" i="8"/>
  <c r="I42" i="8" s="1"/>
  <c r="J42" i="8" s="1"/>
  <c r="O41" i="8"/>
  <c r="P41" i="8"/>
  <c r="Q41" i="8" s="1"/>
  <c r="R41" i="8" s="1"/>
  <c r="L41" i="8"/>
  <c r="M41" i="8" s="1"/>
  <c r="N41" i="8" s="1"/>
  <c r="H41" i="8"/>
  <c r="I41" i="8" s="1"/>
  <c r="J41" i="8" s="1"/>
  <c r="O40" i="8"/>
  <c r="P40" i="8" s="1"/>
  <c r="Q40" i="8" s="1"/>
  <c r="R40" i="8" s="1"/>
  <c r="L40" i="8"/>
  <c r="M40" i="8" s="1"/>
  <c r="N40" i="8" s="1"/>
  <c r="H40" i="8"/>
  <c r="I40" i="8" s="1"/>
  <c r="J40" i="8" s="1"/>
  <c r="O39" i="8"/>
  <c r="P39" i="8" s="1"/>
  <c r="Q39" i="8" s="1"/>
  <c r="R39" i="8" s="1"/>
  <c r="L39" i="8"/>
  <c r="M39" i="8" s="1"/>
  <c r="N39" i="8" s="1"/>
  <c r="H39" i="8"/>
  <c r="I39" i="8" s="1"/>
  <c r="J39" i="8" s="1"/>
  <c r="O38" i="8"/>
  <c r="P38" i="8" s="1"/>
  <c r="Q38" i="8" s="1"/>
  <c r="R38" i="8" s="1"/>
  <c r="L38" i="8"/>
  <c r="M38" i="8" s="1"/>
  <c r="N38" i="8" s="1"/>
  <c r="H38" i="8"/>
  <c r="I38" i="8" s="1"/>
  <c r="J38" i="8" s="1"/>
  <c r="P37" i="8"/>
  <c r="Q37" i="8" s="1"/>
  <c r="R37" i="8" s="1"/>
  <c r="L37" i="8"/>
  <c r="M37" i="8" s="1"/>
  <c r="N37" i="8" s="1"/>
  <c r="H37" i="8"/>
  <c r="I37" i="8" s="1"/>
  <c r="J37" i="8" s="1"/>
  <c r="P36" i="8"/>
  <c r="Q36" i="8" s="1"/>
  <c r="R36" i="8" s="1"/>
  <c r="L36" i="8"/>
  <c r="M36" i="8" s="1"/>
  <c r="N36" i="8" s="1"/>
  <c r="S36" i="8" s="1"/>
  <c r="H36" i="8"/>
  <c r="I36" i="8" s="1"/>
  <c r="J36" i="8" s="1"/>
  <c r="P35" i="8"/>
  <c r="Q35" i="8" s="1"/>
  <c r="R35" i="8" s="1"/>
  <c r="L35" i="8"/>
  <c r="M35" i="8" s="1"/>
  <c r="N35" i="8" s="1"/>
  <c r="H35" i="8"/>
  <c r="I35" i="8" s="1"/>
  <c r="J35" i="8" s="1"/>
  <c r="P34" i="8"/>
  <c r="Q34" i="8" s="1"/>
  <c r="R34" i="8" s="1"/>
  <c r="L34" i="8"/>
  <c r="M34" i="8" s="1"/>
  <c r="N34" i="8" s="1"/>
  <c r="S34" i="8" s="1"/>
  <c r="H34" i="8"/>
  <c r="I34" i="8" s="1"/>
  <c r="J34" i="8" s="1"/>
  <c r="P33" i="8"/>
  <c r="Q33" i="8" s="1"/>
  <c r="R33" i="8" s="1"/>
  <c r="L33" i="8"/>
  <c r="M33" i="8" s="1"/>
  <c r="N33" i="8" s="1"/>
  <c r="H33" i="8"/>
  <c r="I33" i="8"/>
  <c r="J33" i="8" s="1"/>
  <c r="P32" i="8"/>
  <c r="Q32" i="8" s="1"/>
  <c r="R32" i="8" s="1"/>
  <c r="L32" i="8"/>
  <c r="M32" i="8" s="1"/>
  <c r="N32" i="8" s="1"/>
  <c r="H32" i="8"/>
  <c r="I32" i="8" s="1"/>
  <c r="J32" i="8" s="1"/>
  <c r="P31" i="8"/>
  <c r="Q31" i="8" s="1"/>
  <c r="R31" i="8" s="1"/>
  <c r="L31" i="8"/>
  <c r="M31" i="8" s="1"/>
  <c r="N31" i="8" s="1"/>
  <c r="H31" i="8"/>
  <c r="I31" i="8" s="1"/>
  <c r="J31" i="8" s="1"/>
  <c r="P30" i="8"/>
  <c r="Q30" i="8" s="1"/>
  <c r="R30" i="8" s="1"/>
  <c r="L30" i="8"/>
  <c r="M30" i="8" s="1"/>
  <c r="N30" i="8" s="1"/>
  <c r="H30" i="8"/>
  <c r="I30" i="8" s="1"/>
  <c r="J30" i="8" s="1"/>
  <c r="P29" i="8"/>
  <c r="Q29" i="8" s="1"/>
  <c r="R29" i="8" s="1"/>
  <c r="L29" i="8"/>
  <c r="M29" i="8" s="1"/>
  <c r="N29" i="8" s="1"/>
  <c r="H29" i="8"/>
  <c r="I29" i="8" s="1"/>
  <c r="J29" i="8" s="1"/>
  <c r="P28" i="8"/>
  <c r="Q28" i="8" s="1"/>
  <c r="R28" i="8" s="1"/>
  <c r="L28" i="8"/>
  <c r="M28" i="8" s="1"/>
  <c r="N28" i="8" s="1"/>
  <c r="S28" i="8" s="1"/>
  <c r="H28" i="8"/>
  <c r="I28" i="8" s="1"/>
  <c r="J28" i="8" s="1"/>
  <c r="P27" i="8"/>
  <c r="Q27" i="8" s="1"/>
  <c r="R27" i="8" s="1"/>
  <c r="L27" i="8"/>
  <c r="M27" i="8" s="1"/>
  <c r="N27" i="8" s="1"/>
  <c r="H27" i="8"/>
  <c r="I27" i="8" s="1"/>
  <c r="J27" i="8" s="1"/>
  <c r="P26" i="8"/>
  <c r="Q26" i="8" s="1"/>
  <c r="R26" i="8" s="1"/>
  <c r="L26" i="8"/>
  <c r="M26" i="8" s="1"/>
  <c r="N26" i="8" s="1"/>
  <c r="H26" i="8"/>
  <c r="I26" i="8" s="1"/>
  <c r="J26" i="8" s="1"/>
  <c r="P25" i="8"/>
  <c r="Q25" i="8" s="1"/>
  <c r="R25" i="8" s="1"/>
  <c r="L25" i="8"/>
  <c r="M25" i="8" s="1"/>
  <c r="N25" i="8" s="1"/>
  <c r="H25" i="8"/>
  <c r="I25" i="8" s="1"/>
  <c r="J25" i="8" s="1"/>
  <c r="P24" i="8"/>
  <c r="Q24" i="8" s="1"/>
  <c r="R24" i="8" s="1"/>
  <c r="L24" i="8"/>
  <c r="M24" i="8" s="1"/>
  <c r="N24" i="8" s="1"/>
  <c r="S24" i="8" s="1"/>
  <c r="H24" i="8"/>
  <c r="I24" i="8" s="1"/>
  <c r="J24" i="8" s="1"/>
  <c r="P23" i="8"/>
  <c r="Q23" i="8" s="1"/>
  <c r="R23" i="8" s="1"/>
  <c r="L23" i="8"/>
  <c r="M23" i="8" s="1"/>
  <c r="N23" i="8" s="1"/>
  <c r="H23" i="8"/>
  <c r="I23" i="8" s="1"/>
  <c r="J23" i="8" s="1"/>
  <c r="P22" i="8"/>
  <c r="Q22" i="8" s="1"/>
  <c r="R22" i="8" s="1"/>
  <c r="L22" i="8"/>
  <c r="M22" i="8" s="1"/>
  <c r="N22" i="8" s="1"/>
  <c r="H22" i="8"/>
  <c r="I22" i="8" s="1"/>
  <c r="J22" i="8" s="1"/>
  <c r="P21" i="8"/>
  <c r="Q21" i="8" s="1"/>
  <c r="R21" i="8" s="1"/>
  <c r="L21" i="8"/>
  <c r="M21" i="8" s="1"/>
  <c r="N21" i="8" s="1"/>
  <c r="H21" i="8"/>
  <c r="I21" i="8" s="1"/>
  <c r="J21" i="8" s="1"/>
  <c r="P20" i="8"/>
  <c r="Q20" i="8" s="1"/>
  <c r="R20" i="8" s="1"/>
  <c r="L20" i="8"/>
  <c r="M20" i="8" s="1"/>
  <c r="N20" i="8" s="1"/>
  <c r="H20" i="8"/>
  <c r="I20" i="8" s="1"/>
  <c r="J20" i="8" s="1"/>
  <c r="P19" i="8"/>
  <c r="Q19" i="8" s="1"/>
  <c r="R19" i="8" s="1"/>
  <c r="L19" i="8"/>
  <c r="M19" i="8" s="1"/>
  <c r="N19" i="8" s="1"/>
  <c r="S19" i="8" s="1"/>
  <c r="H19" i="8"/>
  <c r="I19" i="8" s="1"/>
  <c r="J19" i="8" s="1"/>
  <c r="P18" i="8"/>
  <c r="Q18" i="8" s="1"/>
  <c r="R18" i="8" s="1"/>
  <c r="L18" i="8"/>
  <c r="M18" i="8" s="1"/>
  <c r="N18" i="8" s="1"/>
  <c r="S18" i="8" s="1"/>
  <c r="H18" i="8"/>
  <c r="I18" i="8" s="1"/>
  <c r="J18" i="8" s="1"/>
  <c r="P17" i="8"/>
  <c r="Q17" i="8" s="1"/>
  <c r="R17" i="8" s="1"/>
  <c r="L17" i="8"/>
  <c r="M17" i="8" s="1"/>
  <c r="N17" i="8" s="1"/>
  <c r="H17" i="8"/>
  <c r="I17" i="8" s="1"/>
  <c r="J17" i="8" s="1"/>
  <c r="P16" i="8"/>
  <c r="Q16" i="8" s="1"/>
  <c r="R16" i="8" s="1"/>
  <c r="L16" i="8"/>
  <c r="M16" i="8" s="1"/>
  <c r="N16" i="8" s="1"/>
  <c r="H16" i="8"/>
  <c r="I16" i="8" s="1"/>
  <c r="J16" i="8" s="1"/>
  <c r="P15" i="8"/>
  <c r="Q15" i="8" s="1"/>
  <c r="R15" i="8" s="1"/>
  <c r="L15" i="8"/>
  <c r="M15" i="8" s="1"/>
  <c r="N15" i="8" s="1"/>
  <c r="H15" i="8"/>
  <c r="I15" i="8"/>
  <c r="J15" i="8" s="1"/>
  <c r="P14" i="8"/>
  <c r="Q14" i="8" s="1"/>
  <c r="R14" i="8" s="1"/>
  <c r="L14" i="8"/>
  <c r="M14" i="8" s="1"/>
  <c r="N14" i="8" s="1"/>
  <c r="H14" i="8"/>
  <c r="I14" i="8" s="1"/>
  <c r="J14" i="8" s="1"/>
  <c r="P13" i="8"/>
  <c r="Q13" i="8" s="1"/>
  <c r="R13" i="8" s="1"/>
  <c r="L13" i="8"/>
  <c r="M13" i="8" s="1"/>
  <c r="N13" i="8" s="1"/>
  <c r="H13" i="8"/>
  <c r="I13" i="8" s="1"/>
  <c r="J13" i="8" s="1"/>
  <c r="P12" i="8"/>
  <c r="Q12" i="8" s="1"/>
  <c r="R12" i="8" s="1"/>
  <c r="L12" i="8"/>
  <c r="M12" i="8" s="1"/>
  <c r="N12" i="8" s="1"/>
  <c r="H12" i="8"/>
  <c r="I12" i="8" s="1"/>
  <c r="J12" i="8" s="1"/>
  <c r="P11" i="8"/>
  <c r="Q11" i="8" s="1"/>
  <c r="R11" i="8" s="1"/>
  <c r="L11" i="8"/>
  <c r="M11" i="8" s="1"/>
  <c r="N11" i="8" s="1"/>
  <c r="H11" i="8"/>
  <c r="I11" i="8" s="1"/>
  <c r="J11" i="8" s="1"/>
  <c r="S51" i="8"/>
  <c r="O43" i="7"/>
  <c r="P43" i="7" s="1"/>
  <c r="Q43" i="7" s="1"/>
  <c r="R43" i="7" s="1"/>
  <c r="L43" i="7"/>
  <c r="M43" i="7" s="1"/>
  <c r="N43" i="7" s="1"/>
  <c r="H43" i="7"/>
  <c r="I43" i="7" s="1"/>
  <c r="J43" i="7" s="1"/>
  <c r="O42" i="7"/>
  <c r="P42" i="7" s="1"/>
  <c r="Q42" i="7" s="1"/>
  <c r="R42" i="7" s="1"/>
  <c r="L42" i="7"/>
  <c r="M42" i="7" s="1"/>
  <c r="N42" i="7" s="1"/>
  <c r="H42" i="7"/>
  <c r="I42" i="7"/>
  <c r="J42" i="7" s="1"/>
  <c r="O41" i="7"/>
  <c r="P41" i="7" s="1"/>
  <c r="Q41" i="7" s="1"/>
  <c r="R41" i="7" s="1"/>
  <c r="L41" i="7"/>
  <c r="M41" i="7" s="1"/>
  <c r="N41" i="7" s="1"/>
  <c r="H41" i="7"/>
  <c r="I41" i="7" s="1"/>
  <c r="J41" i="7" s="1"/>
  <c r="O40" i="7"/>
  <c r="P40" i="7" s="1"/>
  <c r="Q40" i="7" s="1"/>
  <c r="R40" i="7" s="1"/>
  <c r="L40" i="7"/>
  <c r="M40" i="7" s="1"/>
  <c r="N40" i="7"/>
  <c r="H40" i="7"/>
  <c r="I40" i="7"/>
  <c r="J40" i="7" s="1"/>
  <c r="O39" i="7"/>
  <c r="P39" i="7" s="1"/>
  <c r="Q39" i="7" s="1"/>
  <c r="R39" i="7" s="1"/>
  <c r="S39" i="7" s="1"/>
  <c r="L39" i="7"/>
  <c r="M39" i="7" s="1"/>
  <c r="N39" i="7" s="1"/>
  <c r="H39" i="7"/>
  <c r="I39" i="7" s="1"/>
  <c r="J39" i="7" s="1"/>
  <c r="O38" i="7"/>
  <c r="P38" i="7" s="1"/>
  <c r="Q38" i="7" s="1"/>
  <c r="R38" i="7" s="1"/>
  <c r="L38" i="7"/>
  <c r="M38" i="7" s="1"/>
  <c r="N38" i="7"/>
  <c r="H38" i="7"/>
  <c r="I38" i="7" s="1"/>
  <c r="J38" i="7" s="1"/>
  <c r="O37" i="7"/>
  <c r="P37" i="7" s="1"/>
  <c r="Q37" i="7" s="1"/>
  <c r="R37" i="7" s="1"/>
  <c r="L37" i="7"/>
  <c r="M37" i="7" s="1"/>
  <c r="N37" i="7" s="1"/>
  <c r="H37" i="7"/>
  <c r="I37" i="7" s="1"/>
  <c r="J37" i="7" s="1"/>
  <c r="P51" i="7"/>
  <c r="Q51" i="7" s="1"/>
  <c r="R51" i="7"/>
  <c r="P50" i="7"/>
  <c r="Q50" i="7" s="1"/>
  <c r="R50" i="7" s="1"/>
  <c r="P49" i="7"/>
  <c r="Q49" i="7" s="1"/>
  <c r="R49" i="7" s="1"/>
  <c r="P48" i="7"/>
  <c r="Q48" i="7" s="1"/>
  <c r="R48" i="7" s="1"/>
  <c r="P47" i="7"/>
  <c r="Q47" i="7" s="1"/>
  <c r="R47" i="7" s="1"/>
  <c r="P46" i="7"/>
  <c r="Q46" i="7" s="1"/>
  <c r="R46" i="7" s="1"/>
  <c r="P45" i="7"/>
  <c r="Q45" i="7" s="1"/>
  <c r="R45" i="7" s="1"/>
  <c r="P44" i="7"/>
  <c r="Q44" i="7" s="1"/>
  <c r="R44" i="7" s="1"/>
  <c r="P36" i="7"/>
  <c r="Q36" i="7" s="1"/>
  <c r="R36" i="7" s="1"/>
  <c r="P35" i="7"/>
  <c r="Q35" i="7" s="1"/>
  <c r="R35" i="7" s="1"/>
  <c r="P34" i="7"/>
  <c r="Q34" i="7" s="1"/>
  <c r="R34" i="7" s="1"/>
  <c r="P33" i="7"/>
  <c r="Q33" i="7" s="1"/>
  <c r="R33" i="7" s="1"/>
  <c r="P32" i="7"/>
  <c r="Q32" i="7" s="1"/>
  <c r="R32" i="7" s="1"/>
  <c r="P31" i="7"/>
  <c r="Q31" i="7" s="1"/>
  <c r="R31" i="7" s="1"/>
  <c r="P30" i="7"/>
  <c r="Q30" i="7" s="1"/>
  <c r="R30" i="7" s="1"/>
  <c r="P29" i="7"/>
  <c r="Q29" i="7" s="1"/>
  <c r="R29" i="7" s="1"/>
  <c r="P28" i="7"/>
  <c r="Q28" i="7" s="1"/>
  <c r="R28" i="7" s="1"/>
  <c r="P27" i="7"/>
  <c r="Q27" i="7" s="1"/>
  <c r="R27" i="7" s="1"/>
  <c r="P26" i="7"/>
  <c r="Q26" i="7" s="1"/>
  <c r="R26" i="7" s="1"/>
  <c r="P25" i="7"/>
  <c r="Q25" i="7" s="1"/>
  <c r="R25" i="7" s="1"/>
  <c r="P24" i="7"/>
  <c r="Q24" i="7" s="1"/>
  <c r="R24" i="7" s="1"/>
  <c r="P23" i="7"/>
  <c r="Q23" i="7" s="1"/>
  <c r="R23" i="7" s="1"/>
  <c r="P22" i="7"/>
  <c r="Q22" i="7" s="1"/>
  <c r="R22" i="7" s="1"/>
  <c r="P21" i="7"/>
  <c r="Q21" i="7" s="1"/>
  <c r="R21" i="7" s="1"/>
  <c r="P20" i="7"/>
  <c r="Q20" i="7" s="1"/>
  <c r="R20" i="7" s="1"/>
  <c r="P19" i="7"/>
  <c r="Q19" i="7" s="1"/>
  <c r="R19" i="7" s="1"/>
  <c r="P18" i="7"/>
  <c r="Q18" i="7" s="1"/>
  <c r="R18" i="7" s="1"/>
  <c r="P17" i="7"/>
  <c r="Q17" i="7" s="1"/>
  <c r="R17" i="7" s="1"/>
  <c r="P16" i="7"/>
  <c r="Q16" i="7" s="1"/>
  <c r="R16" i="7" s="1"/>
  <c r="P15" i="7"/>
  <c r="Q15" i="7" s="1"/>
  <c r="R15" i="7" s="1"/>
  <c r="P14" i="7"/>
  <c r="Q14" i="7" s="1"/>
  <c r="R14" i="7" s="1"/>
  <c r="P13" i="7"/>
  <c r="Q13" i="7" s="1"/>
  <c r="R13" i="7" s="1"/>
  <c r="P12" i="7"/>
  <c r="Q12" i="7" s="1"/>
  <c r="R12" i="7" s="1"/>
  <c r="P11" i="7"/>
  <c r="Q11" i="7" s="1"/>
  <c r="R11" i="7" s="1"/>
  <c r="P10" i="7"/>
  <c r="Q10" i="7" s="1"/>
  <c r="R10" i="7" s="1"/>
  <c r="L51" i="7"/>
  <c r="M51" i="7" s="1"/>
  <c r="N51" i="7" s="1"/>
  <c r="L50" i="7"/>
  <c r="M50" i="7" s="1"/>
  <c r="N50" i="7" s="1"/>
  <c r="L49" i="7"/>
  <c r="M49" i="7" s="1"/>
  <c r="N49" i="7" s="1"/>
  <c r="L48" i="7"/>
  <c r="M48" i="7" s="1"/>
  <c r="N48" i="7" s="1"/>
  <c r="L47" i="7"/>
  <c r="M47" i="7" s="1"/>
  <c r="N47" i="7" s="1"/>
  <c r="L46" i="7"/>
  <c r="M46" i="7" s="1"/>
  <c r="N46" i="7" s="1"/>
  <c r="L45" i="7"/>
  <c r="M45" i="7" s="1"/>
  <c r="N45" i="7" s="1"/>
  <c r="S45" i="7" s="1"/>
  <c r="L44" i="7"/>
  <c r="M44" i="7" s="1"/>
  <c r="N44" i="7" s="1"/>
  <c r="S44" i="7" s="1"/>
  <c r="L36" i="7"/>
  <c r="M36" i="7" s="1"/>
  <c r="N36" i="7" s="1"/>
  <c r="L35" i="7"/>
  <c r="M35" i="7" s="1"/>
  <c r="N35" i="7" s="1"/>
  <c r="L34" i="7"/>
  <c r="M34" i="7" s="1"/>
  <c r="N34" i="7" s="1"/>
  <c r="L33" i="7"/>
  <c r="M33" i="7" s="1"/>
  <c r="N33" i="7" s="1"/>
  <c r="L32" i="7"/>
  <c r="M32" i="7" s="1"/>
  <c r="N32" i="7" s="1"/>
  <c r="L31" i="7"/>
  <c r="M31" i="7" s="1"/>
  <c r="N31" i="7" s="1"/>
  <c r="S31" i="7" s="1"/>
  <c r="L30" i="7"/>
  <c r="M30" i="7" s="1"/>
  <c r="N30" i="7" s="1"/>
  <c r="S30" i="7" s="1"/>
  <c r="L29" i="7"/>
  <c r="M29" i="7" s="1"/>
  <c r="N29" i="7" s="1"/>
  <c r="L28" i="7"/>
  <c r="M28" i="7" s="1"/>
  <c r="N28" i="7" s="1"/>
  <c r="L27" i="7"/>
  <c r="M27" i="7" s="1"/>
  <c r="N27" i="7" s="1"/>
  <c r="L26" i="7"/>
  <c r="M26" i="7" s="1"/>
  <c r="N26" i="7" s="1"/>
  <c r="L25" i="7"/>
  <c r="M25" i="7" s="1"/>
  <c r="N25" i="7" s="1"/>
  <c r="L24" i="7"/>
  <c r="M24" i="7" s="1"/>
  <c r="N24" i="7" s="1"/>
  <c r="L23" i="7"/>
  <c r="M23" i="7" s="1"/>
  <c r="N23" i="7" s="1"/>
  <c r="L22" i="7"/>
  <c r="M22" i="7" s="1"/>
  <c r="N22" i="7" s="1"/>
  <c r="S22" i="7" s="1"/>
  <c r="L21" i="7"/>
  <c r="M21" i="7" s="1"/>
  <c r="N21" i="7" s="1"/>
  <c r="L20" i="7"/>
  <c r="M20" i="7" s="1"/>
  <c r="N20" i="7" s="1"/>
  <c r="L19" i="7"/>
  <c r="M19" i="7" s="1"/>
  <c r="N19" i="7" s="1"/>
  <c r="L18" i="7"/>
  <c r="M18" i="7" s="1"/>
  <c r="N18" i="7" s="1"/>
  <c r="L17" i="7"/>
  <c r="M17" i="7" s="1"/>
  <c r="N17" i="7" s="1"/>
  <c r="L16" i="7"/>
  <c r="M16" i="7" s="1"/>
  <c r="N16" i="7" s="1"/>
  <c r="S16" i="7" s="1"/>
  <c r="L15" i="7"/>
  <c r="M15" i="7" s="1"/>
  <c r="N15" i="7" s="1"/>
  <c r="S15" i="7" s="1"/>
  <c r="L14" i="7"/>
  <c r="M14" i="7" s="1"/>
  <c r="N14" i="7" s="1"/>
  <c r="S14" i="7" s="1"/>
  <c r="L13" i="7"/>
  <c r="M13" i="7" s="1"/>
  <c r="N13" i="7" s="1"/>
  <c r="L12" i="7"/>
  <c r="M12" i="7" s="1"/>
  <c r="N12" i="7" s="1"/>
  <c r="L11" i="7"/>
  <c r="M11" i="7" s="1"/>
  <c r="N11" i="7" s="1"/>
  <c r="L10" i="7"/>
  <c r="M10" i="7" s="1"/>
  <c r="N10" i="7" s="1"/>
  <c r="H45" i="7"/>
  <c r="I45" i="7" s="1"/>
  <c r="J45" i="7" s="1"/>
  <c r="H46" i="7"/>
  <c r="I46" i="7" s="1"/>
  <c r="J46" i="7" s="1"/>
  <c r="H47" i="7"/>
  <c r="I47" i="7" s="1"/>
  <c r="J47" i="7" s="1"/>
  <c r="H48" i="7"/>
  <c r="I48" i="7" s="1"/>
  <c r="J48" i="7" s="1"/>
  <c r="H49" i="7"/>
  <c r="I49" i="7" s="1"/>
  <c r="J49" i="7" s="1"/>
  <c r="H50" i="7"/>
  <c r="I50" i="7" s="1"/>
  <c r="J50" i="7" s="1"/>
  <c r="H51" i="7"/>
  <c r="I51" i="7" s="1"/>
  <c r="J51" i="7" s="1"/>
  <c r="H44" i="7"/>
  <c r="I44" i="7" s="1"/>
  <c r="J44" i="7" s="1"/>
  <c r="H33" i="7"/>
  <c r="I33" i="7" s="1"/>
  <c r="J33" i="7" s="1"/>
  <c r="H34" i="7"/>
  <c r="I34" i="7"/>
  <c r="J34" i="7" s="1"/>
  <c r="H35" i="7"/>
  <c r="I35" i="7" s="1"/>
  <c r="J35" i="7" s="1"/>
  <c r="H36" i="7"/>
  <c r="I36" i="7" s="1"/>
  <c r="J36" i="7" s="1"/>
  <c r="H32" i="7"/>
  <c r="I32" i="7" s="1"/>
  <c r="J32" i="7" s="1"/>
  <c r="H23" i="7"/>
  <c r="I23" i="7" s="1"/>
  <c r="J23" i="7" s="1"/>
  <c r="H24" i="7"/>
  <c r="I24" i="7" s="1"/>
  <c r="J24" i="7" s="1"/>
  <c r="H25" i="7"/>
  <c r="I25" i="7" s="1"/>
  <c r="J25" i="7" s="1"/>
  <c r="H26" i="7"/>
  <c r="I26" i="7" s="1"/>
  <c r="J26" i="7" s="1"/>
  <c r="H27" i="7"/>
  <c r="I27" i="7"/>
  <c r="J27" i="7" s="1"/>
  <c r="H28" i="7"/>
  <c r="I28" i="7" s="1"/>
  <c r="J28" i="7" s="1"/>
  <c r="H29" i="7"/>
  <c r="I29" i="7" s="1"/>
  <c r="J29" i="7" s="1"/>
  <c r="H30" i="7"/>
  <c r="I30" i="7" s="1"/>
  <c r="J30" i="7" s="1"/>
  <c r="H31" i="7"/>
  <c r="I31" i="7" s="1"/>
  <c r="J31" i="7" s="1"/>
  <c r="H22" i="7"/>
  <c r="I22" i="7" s="1"/>
  <c r="J22" i="7" s="1"/>
  <c r="H21" i="7"/>
  <c r="I21" i="7" s="1"/>
  <c r="J21" i="7" s="1"/>
  <c r="H11" i="7"/>
  <c r="I11" i="7" s="1"/>
  <c r="J11" i="7" s="1"/>
  <c r="H12" i="7"/>
  <c r="I12" i="7" s="1"/>
  <c r="J12" i="7" s="1"/>
  <c r="H13" i="7"/>
  <c r="I13" i="7" s="1"/>
  <c r="J13" i="7" s="1"/>
  <c r="H14" i="7"/>
  <c r="I14" i="7" s="1"/>
  <c r="J14" i="7" s="1"/>
  <c r="H15" i="7"/>
  <c r="I15" i="7" s="1"/>
  <c r="J15" i="7" s="1"/>
  <c r="H16" i="7"/>
  <c r="I16" i="7" s="1"/>
  <c r="J16" i="7" s="1"/>
  <c r="H17" i="7"/>
  <c r="I17" i="7" s="1"/>
  <c r="J17" i="7" s="1"/>
  <c r="H18" i="7"/>
  <c r="I18" i="7" s="1"/>
  <c r="J18" i="7" s="1"/>
  <c r="H19" i="7"/>
  <c r="I19" i="7" s="1"/>
  <c r="J19" i="7" s="1"/>
  <c r="H20" i="7"/>
  <c r="I20" i="7" s="1"/>
  <c r="J20" i="7" s="1"/>
  <c r="H10" i="7"/>
  <c r="I10" i="7" s="1"/>
  <c r="J10" i="7" s="1"/>
  <c r="S13" i="8" l="1"/>
  <c r="S48" i="8"/>
  <c r="S29" i="7"/>
  <c r="S41" i="7"/>
  <c r="S26" i="7"/>
  <c r="S11" i="7"/>
  <c r="S19" i="7"/>
  <c r="S40" i="7"/>
  <c r="S27" i="8"/>
  <c r="S43" i="8"/>
  <c r="S23" i="7"/>
  <c r="S46" i="7"/>
  <c r="S37" i="7"/>
  <c r="T37" i="7" s="1"/>
  <c r="V37" i="7" s="1"/>
  <c r="S42" i="7"/>
  <c r="S25" i="7"/>
  <c r="S33" i="7"/>
  <c r="S49" i="8"/>
  <c r="S49" i="7"/>
  <c r="S27" i="7"/>
  <c r="S50" i="7"/>
  <c r="S38" i="7"/>
  <c r="S18" i="7"/>
  <c r="S34" i="7"/>
  <c r="S12" i="7"/>
  <c r="S20" i="7"/>
  <c r="S14" i="8"/>
  <c r="S43" i="7"/>
  <c r="S30" i="8"/>
  <c r="S52" i="8"/>
  <c r="S41" i="8"/>
  <c r="S50" i="8"/>
  <c r="S36" i="7"/>
  <c r="S40" i="8"/>
  <c r="S17" i="7"/>
  <c r="S48" i="7"/>
  <c r="S28" i="7"/>
  <c r="S47" i="7"/>
  <c r="S15" i="8"/>
  <c r="S22" i="8"/>
  <c r="S33" i="8"/>
  <c r="S45" i="8"/>
  <c r="S25" i="8"/>
  <c r="S13" i="7"/>
  <c r="S21" i="7"/>
  <c r="S35" i="7"/>
  <c r="S24" i="7"/>
  <c r="S51" i="7"/>
  <c r="S17" i="8"/>
  <c r="S31" i="8"/>
  <c r="S47" i="8"/>
  <c r="G88" i="9"/>
  <c r="S32" i="7"/>
  <c r="S23" i="8"/>
  <c r="J52" i="7"/>
  <c r="N52" i="7"/>
  <c r="S10" i="7"/>
  <c r="R52" i="7"/>
  <c r="N53" i="8"/>
  <c r="S11" i="8"/>
  <c r="S16" i="8"/>
  <c r="S12" i="8"/>
  <c r="S21" i="8"/>
  <c r="S37" i="8"/>
  <c r="S46" i="8"/>
  <c r="J53" i="8"/>
  <c r="R53" i="8"/>
  <c r="S32" i="8"/>
  <c r="S35" i="8"/>
  <c r="S38" i="8"/>
  <c r="S42" i="8"/>
  <c r="S20" i="8"/>
  <c r="S26" i="8"/>
  <c r="S29" i="8"/>
  <c r="S39" i="8"/>
  <c r="T32" i="7" l="1"/>
  <c r="V32" i="7" s="1"/>
  <c r="T21" i="7"/>
  <c r="V21" i="7" s="1"/>
  <c r="T10" i="7"/>
  <c r="V10" i="7" s="1"/>
  <c r="V52" i="7" s="1"/>
  <c r="E56" i="7" s="1"/>
  <c r="T33" i="8"/>
  <c r="V33" i="8" s="1"/>
  <c r="T45" i="8"/>
  <c r="V45" i="8" s="1"/>
  <c r="T44" i="7"/>
  <c r="V44" i="7" s="1"/>
  <c r="E58" i="7" s="1"/>
  <c r="S53" i="8"/>
  <c r="T22" i="8"/>
  <c r="V22" i="8" s="1"/>
  <c r="S52" i="7"/>
  <c r="T38" i="8"/>
  <c r="V38" i="8" s="1"/>
  <c r="T11" i="8"/>
  <c r="T52" i="7" l="1"/>
  <c r="E59" i="8"/>
  <c r="T53" i="8"/>
  <c r="V11" i="8"/>
  <c r="V53" i="8" s="1"/>
  <c r="E57" i="8" s="1"/>
  <c r="E57" i="7"/>
  <c r="E61" i="7"/>
  <c r="E62" i="8" l="1"/>
  <c r="E58" i="8"/>
</calcChain>
</file>

<file path=xl/comments1.xml><?xml version="1.0" encoding="utf-8"?>
<comments xmlns="http://schemas.openxmlformats.org/spreadsheetml/2006/main">
  <authors>
    <author>Sebastian Salazar</author>
  </authors>
  <commentList>
    <comment ref="G73" authorId="0" shapeId="0">
      <text>
        <r>
          <rPr>
            <sz val="9"/>
            <color indexed="81"/>
            <rFont val="Tahoma"/>
            <family val="2"/>
          </rPr>
          <t xml:space="preserve">Por favor indicar acá  el valor de fee de agencia  ofertado.
</t>
        </r>
      </text>
    </comment>
    <comment ref="G75" authorId="0" shapeId="0">
      <text>
        <r>
          <rPr>
            <b/>
            <sz val="9"/>
            <color indexed="81"/>
            <rFont val="Tahoma"/>
            <family val="2"/>
          </rPr>
          <t xml:space="preserve">Por favor de acuerdo con el régimen tributario del proponente, indicar el porcentaje para el cálculo del IVA. </t>
        </r>
      </text>
    </comment>
  </commentList>
</comments>
</file>

<file path=xl/sharedStrings.xml><?xml version="1.0" encoding="utf-8"?>
<sst xmlns="http://schemas.openxmlformats.org/spreadsheetml/2006/main" count="3336" uniqueCount="684">
  <si>
    <t>No.</t>
  </si>
  <si>
    <t>TIPO DEL EVENTO</t>
  </si>
  <si>
    <t>VALOR UNITARIO ANTES DE IVA</t>
  </si>
  <si>
    <r>
      <rPr>
        <b/>
        <sz val="11"/>
        <rFont val="Calibri"/>
        <family val="2"/>
        <scheme val="minor"/>
      </rPr>
      <t xml:space="preserve">Salón en hotel 4 estrellas/centro de convenciones (Bogotá D.C): </t>
    </r>
    <r>
      <rPr>
        <sz val="11"/>
        <rFont val="Calibri"/>
        <family val="2"/>
        <scheme val="minor"/>
      </rPr>
      <t>con capacidad para 100 personas, incluyendo sillas en forma auditorio, telón para proyección. Se requiere por cuatro horas.</t>
    </r>
  </si>
  <si>
    <r>
      <rPr>
        <b/>
        <sz val="11"/>
        <color rgb="FF000000"/>
        <rFont val="Calibri"/>
        <family val="2"/>
        <scheme val="minor"/>
      </rPr>
      <t>Sonido profesional</t>
    </r>
    <r>
      <rPr>
        <sz val="11"/>
        <color rgb="FF000000"/>
        <rFont val="Calibri"/>
        <family val="2"/>
        <scheme val="minor"/>
      </rPr>
      <t>: (amplificaciones) requerido para auditorio con capacidad de 100 personas. Se requiere por cuatro horas.</t>
    </r>
  </si>
  <si>
    <r>
      <t>Micrófono inalámbrico.</t>
    </r>
    <r>
      <rPr>
        <sz val="11"/>
        <rFont val="Calibri"/>
        <family val="2"/>
        <scheme val="minor"/>
      </rPr>
      <t xml:space="preserve"> Se requiere por cuatro horas.</t>
    </r>
  </si>
  <si>
    <r>
      <t xml:space="preserve">Estación de Café Tipo II: </t>
    </r>
    <r>
      <rPr>
        <sz val="11"/>
        <rFont val="Calibri"/>
        <family val="2"/>
        <scheme val="minor"/>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</si>
  <si>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Almuerzo  de trabajo servido en el restaurante del hotel:</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scheme val="minor"/>
      </rPr>
      <t xml:space="preserve"> NOTA 1:</t>
    </r>
    <r>
      <rPr>
        <sz val="11"/>
        <rFont val="Calibri"/>
        <family val="2"/>
        <scheme val="minor"/>
      </rPr>
      <t xml:space="preserve"> En la columna valor unitario antes de IVA deberá ofertar el valor de  un almuerzo. </t>
    </r>
    <r>
      <rPr>
        <b/>
        <sz val="11"/>
        <rFont val="Calibri"/>
        <family val="2"/>
        <scheme val="minor"/>
      </rPr>
      <t xml:space="preserve">NOTA 2: </t>
    </r>
    <r>
      <rPr>
        <sz val="11"/>
        <rFont val="Calibri"/>
        <family val="2"/>
        <scheme val="minor"/>
      </rPr>
      <t xml:space="preserve">Se deben ofrecer al menos 3 opciones de menú para las personas invitadas. El ICFES confirmará la lista de personas invitadas. </t>
    </r>
  </si>
  <si>
    <t>ÍTEM</t>
  </si>
  <si>
    <r>
      <t xml:space="preserve">Refrigerios Tipo II: </t>
    </r>
    <r>
      <rPr>
        <sz val="11"/>
        <rFont val="Calibri"/>
        <family val="2"/>
        <scheme val="minor"/>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scheme val="minor"/>
      </rPr>
      <t>NOTA:</t>
    </r>
    <r>
      <rPr>
        <sz val="11"/>
        <rFont val="Calibri"/>
        <family val="2"/>
        <scheme val="minor"/>
      </rPr>
      <t xml:space="preserve"> En la columna valor unitario antes de IVA deberá ofertar el valor de  un refrigerio.</t>
    </r>
  </si>
  <si>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Se requiere 1 computador portátil por día. </t>
    </r>
    <r>
      <rPr>
        <b/>
        <sz val="11"/>
        <color rgb="FF000000"/>
        <rFont val="Calibri"/>
        <family val="2"/>
        <scheme val="minor"/>
      </rPr>
      <t>NOTA:</t>
    </r>
    <r>
      <rPr>
        <sz val="11"/>
        <color rgb="FF000000"/>
        <rFont val="Calibri"/>
        <family val="2"/>
        <scheme val="minor"/>
      </rPr>
      <t xml:space="preserve"> En la columna valor unitario antes de IVA deberá ofertar el valor por persona.</t>
    </r>
  </si>
  <si>
    <t>IVA  UNITARIO</t>
  </si>
  <si>
    <t>DÍAS</t>
  </si>
  <si>
    <t>CANTIDAD x DÍA</t>
  </si>
  <si>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por los cuatro 4 días de duración del evento, de acuerdo a la naturaleza del evento. </t>
    </r>
  </si>
  <si>
    <r>
      <rPr>
        <b/>
        <sz val="11"/>
        <color rgb="FF000000"/>
        <rFont val="Calibri"/>
        <family val="2"/>
        <scheme val="minor"/>
      </rPr>
      <t>Salón</t>
    </r>
    <r>
      <rPr>
        <sz val="11"/>
        <color rgb="FF000000"/>
        <rFont val="Calibri"/>
        <family val="2"/>
        <scheme val="minor"/>
      </rPr>
      <t xml:space="preserve"> con capacidad para  40 personas con sillas y mesas ubicado en forma de u, o mesa redonda, con telón para proyección. En Bogotá D.C. ubicación central</t>
    </r>
    <r>
      <rPr>
        <b/>
        <sz val="11"/>
        <color rgb="FF000000"/>
        <rFont val="Calibri"/>
        <family val="2"/>
        <scheme val="minor"/>
      </rPr>
      <t>. Se requiere salón por un día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</si>
  <si>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del TODO el servicio de acuerdo a la naturaleza del evento. </t>
    </r>
  </si>
  <si>
    <t>Trabajo de Niveles de desempeño Saber 11</t>
  </si>
  <si>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t>
    </r>
    <r>
      <rPr>
        <b/>
        <sz val="11"/>
        <color rgb="FF000000"/>
        <rFont val="Calibri"/>
        <family val="2"/>
        <scheme val="minor"/>
      </rPr>
      <t>Se requieren 7 computadores por 5 días. NOTA:</t>
    </r>
    <r>
      <rPr>
        <sz val="11"/>
        <color rgb="FF000000"/>
        <rFont val="Calibri"/>
        <family val="2"/>
        <scheme val="minor"/>
      </rPr>
      <t xml:space="preserve"> En la columna valor unitario antes de IVA deberá ofertar el valor unitario de  un computador por un día.</t>
    </r>
  </si>
  <si>
    <r>
      <rPr>
        <b/>
        <sz val="11"/>
        <color rgb="FF000000"/>
        <rFont val="Calibri"/>
        <family val="2"/>
        <scheme val="minor"/>
      </rPr>
      <t xml:space="preserve">Video Beam: </t>
    </r>
    <r>
      <rPr>
        <sz val="11"/>
        <color rgb="FF000000"/>
        <rFont val="Calibri"/>
        <family val="2"/>
        <scheme val="minor"/>
      </rPr>
      <t xml:space="preserve">Mínimo con las siguientes características: </t>
    </r>
    <r>
      <rPr>
        <b/>
        <sz val="11"/>
        <color rgb="FF000000"/>
        <rFont val="Calibri"/>
        <family val="2"/>
        <scheme val="minor"/>
      </rPr>
      <t xml:space="preserve"> </t>
    </r>
    <r>
      <rPr>
        <sz val="11"/>
        <color rgb="FF000000"/>
        <rFont val="Calibri"/>
        <family val="2"/>
        <scheme val="minor"/>
      </rPr>
      <t xml:space="preserve">4000 Lumens, Resolución XGA (1024 x 768), 786.000 píxeles. </t>
    </r>
    <r>
      <rPr>
        <b/>
        <sz val="11"/>
        <color rgb="FF000000"/>
        <rFont val="Calibri"/>
        <family val="2"/>
        <scheme val="minor"/>
      </rPr>
      <t xml:space="preserve">Se requieren 6 video beam por 5 días. NOTA: </t>
    </r>
    <r>
      <rPr>
        <sz val="11"/>
        <color rgb="FF000000"/>
        <rFont val="Calibri"/>
        <family val="2"/>
        <scheme val="minor"/>
      </rPr>
      <t>En la columna valor unitario antes de IVA deberá ofertar el valor de  un video beam por un día.</t>
    </r>
  </si>
  <si>
    <r>
      <rPr>
        <b/>
        <sz val="11"/>
        <rFont val="Calibri"/>
        <family val="2"/>
        <scheme val="minor"/>
      </rPr>
      <t xml:space="preserve">Salón en hotel 4 estrellas/centro de convenciones (Bogotá D.C): </t>
    </r>
    <r>
      <rPr>
        <sz val="11"/>
        <rFont val="Calibri"/>
        <family val="2"/>
        <scheme val="minor"/>
      </rPr>
      <t>con capacidad para 15 personas aproximadamente, incluyendo sillas y mesas dispuestas en U o mesa redonda y telón para proyección.</t>
    </r>
    <r>
      <rPr>
        <b/>
        <sz val="11"/>
        <rFont val="Calibri"/>
        <family val="2"/>
        <scheme val="minor"/>
      </rPr>
      <t xml:space="preserve"> Se requieren 7 salones por día, el evento tendrá una duración de 5 días.</t>
    </r>
    <r>
      <rPr>
        <sz val="11"/>
        <rFont val="Calibri"/>
        <family val="2"/>
        <scheme val="minor"/>
      </rPr>
      <t xml:space="preserve">  </t>
    </r>
    <r>
      <rPr>
        <b/>
        <sz val="11"/>
        <rFont val="Calibri"/>
        <family val="2"/>
        <scheme val="minor"/>
      </rPr>
      <t>NOTA:</t>
    </r>
    <r>
      <rPr>
        <sz val="11"/>
        <rFont val="Calibri"/>
        <family val="2"/>
        <scheme val="minor"/>
      </rPr>
      <t xml:space="preserve"> En la columna valor unitario antes de IVA deberá ofertar el valor de un salón por un día.</t>
    </r>
  </si>
  <si>
    <r>
      <t xml:space="preserve">Tablero acrílico o Paleógrafo móvil: </t>
    </r>
    <r>
      <rPr>
        <sz val="11"/>
        <rFont val="Calibri"/>
        <family val="2"/>
        <scheme val="minor"/>
      </rPr>
      <t xml:space="preserve">con todos los implementos para el funcionamiento (hojas, marcadores, borrador...). </t>
    </r>
    <r>
      <rPr>
        <b/>
        <sz val="11"/>
        <rFont val="Calibri"/>
        <family val="2"/>
        <scheme val="minor"/>
      </rPr>
      <t>Se requieren 6 tableros o paleógrafos por 5 días. NOTA:</t>
    </r>
    <r>
      <rPr>
        <sz val="11"/>
        <rFont val="Calibri"/>
        <family val="2"/>
        <scheme val="minor"/>
      </rPr>
      <t xml:space="preserve"> En la columna valor unitario antes de IVA deberá ofertar el valor de  un tablero o paleógrafo por un día.</t>
    </r>
  </si>
  <si>
    <t>Trabajo de Niveles de desempeño Saber PRO</t>
  </si>
  <si>
    <t xml:space="preserve">Balance 2014 y Metas 2015 - Dirección de Evaluación </t>
  </si>
  <si>
    <t>Área Responsable</t>
  </si>
  <si>
    <t>Dirección de Evaluación</t>
  </si>
  <si>
    <t xml:space="preserve">EVENTO INSTALACIONES DEL ICFES </t>
  </si>
  <si>
    <r>
      <rPr>
        <b/>
        <sz val="11"/>
        <color theme="1"/>
        <rFont val="Calibri"/>
        <family val="2"/>
        <scheme val="minor"/>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</si>
  <si>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theme="1"/>
        <rFont val="Calibri"/>
        <family val="2"/>
        <scheme val="minor"/>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</si>
  <si>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</si>
  <si>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</si>
  <si>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scheme val="minor"/>
      </rPr>
      <t xml:space="preserve">Envío de invitaciones a través de   correo electrónico (masivo):
</t>
    </r>
    <r>
      <rPr>
        <sz val="11"/>
        <rFont val="Calibri"/>
        <family val="2"/>
        <scheme val="minor"/>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</si>
  <si>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scheme val="minor"/>
      </rPr>
      <t>CONVOCATORIA DE INVITADOS</t>
    </r>
    <r>
      <rPr>
        <sz val="11"/>
        <rFont val="Calibri"/>
        <family val="2"/>
        <scheme val="minor"/>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</si>
  <si>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theme="1"/>
        <rFont val="Calibri"/>
        <family val="2"/>
        <scheme val="minor"/>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</si>
  <si>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theme="1"/>
        <rFont val="Calibri"/>
        <family val="2"/>
        <scheme val="minor"/>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</si>
  <si>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EVENTO COMUNICACIONES</t>
  </si>
  <si>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</si>
  <si>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</si>
  <si>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t xml:space="preserve">Refrigerios (Tipo I): </t>
    </r>
    <r>
      <rPr>
        <sz val="11"/>
        <rFont val="Calibri"/>
        <family val="2"/>
        <scheme val="minor"/>
      </rPr>
      <t xml:space="preserve">Gaseosa (12onz) o jugo natural, solido de sal o de dulce. (horneado pastelería, frito, canapés). Debe incluir menaje y servicio de meseros. Se requieren refrigerios AM y PM (100 para cada jornada) - 5 días. </t>
    </r>
    <r>
      <rPr>
        <b/>
        <sz val="11"/>
        <rFont val="Calibri"/>
        <family val="2"/>
        <scheme val="minor"/>
      </rPr>
      <t xml:space="preserve">NOTA: </t>
    </r>
    <r>
      <rPr>
        <sz val="11"/>
        <rFont val="Calibri"/>
        <family val="2"/>
        <scheme val="minor"/>
      </rPr>
      <t>En la columna valor unitario antes de IVA deberá ofertar el valor de  un refrigerio.</t>
    </r>
  </si>
  <si>
    <t>VALOR UNITARIO INCLUIDO IVA =</t>
  </si>
  <si>
    <t>VALOR TOTAL =</t>
  </si>
  <si>
    <t>TOTAL</t>
  </si>
  <si>
    <t>VALOR POR EVENTO CON PROMEDIO</t>
  </si>
  <si>
    <t>NO. EVENTOS</t>
  </si>
  <si>
    <t>VALOR TOTAL PPTO</t>
  </si>
  <si>
    <t>ANÁLISIS ESTUDIO DE MERCADO</t>
  </si>
  <si>
    <r>
      <rPr>
        <b/>
        <sz val="11"/>
        <rFont val="Calibri"/>
        <family val="2"/>
        <scheme val="minor"/>
      </rPr>
      <t>Salón en hotel 3 estrellas o Salón de universidad (Bogotá)</t>
    </r>
    <r>
      <rPr>
        <sz val="11"/>
        <rFont val="Calibri"/>
        <family val="2"/>
        <scheme val="minor"/>
      </rPr>
      <t xml:space="preserve">: con capacidad para 200 personas, incluyendo sillas dispuestas en forma de auditorio y telón para proyección. </t>
    </r>
    <r>
      <rPr>
        <b/>
        <sz val="11"/>
        <rFont val="Calibri"/>
        <family val="2"/>
        <scheme val="minor"/>
      </rPr>
      <t>Se requiere un salón por cuatro horas.</t>
    </r>
  </si>
  <si>
    <r>
      <rPr>
        <b/>
        <sz val="11"/>
        <color rgb="FF000000"/>
        <rFont val="Calibri"/>
        <family val="2"/>
        <scheme val="minor"/>
      </rPr>
      <t xml:space="preserve">Video Beam: </t>
    </r>
    <r>
      <rPr>
        <sz val="11"/>
        <color rgb="FF000000"/>
        <rFont val="Calibri"/>
        <family val="2"/>
        <scheme val="minor"/>
      </rPr>
      <t xml:space="preserve">Mínimo con las siguientes características: 4000 Lumens, Resolución, XGA (1024 x 768), 786.000 píxeles. </t>
    </r>
    <r>
      <rPr>
        <b/>
        <sz val="11"/>
        <color rgb="FF000000"/>
        <rFont val="Calibri"/>
        <family val="2"/>
        <scheme val="minor"/>
      </rPr>
      <t>Se requiere 1 video beam por 4 horas</t>
    </r>
    <r>
      <rPr>
        <sz val="11"/>
        <color rgb="FF000000"/>
        <rFont val="Calibri"/>
        <family val="2"/>
        <scheme val="minor"/>
      </rPr>
      <t>.</t>
    </r>
    <r>
      <rPr>
        <b/>
        <sz val="11"/>
        <color rgb="FF000000"/>
        <rFont val="Calibri"/>
        <family val="2"/>
        <scheme val="minor"/>
      </rPr>
      <t/>
    </r>
  </si>
  <si>
    <r>
      <rPr>
        <b/>
        <sz val="11"/>
        <color rgb="FF000000"/>
        <rFont val="Calibri"/>
        <family val="2"/>
        <scheme val="minor"/>
      </rPr>
      <t xml:space="preserve">Computador portátil: </t>
    </r>
    <r>
      <rPr>
        <sz val="11"/>
        <color rgb="FF000000"/>
        <rFont val="Calibri"/>
        <family val="2"/>
        <scheme val="minor"/>
      </rPr>
      <t>Mínimo con las siguientes características: Procesador intel i3, 2GB RAM, DD 80 GB, Video 128 MB, Office 2007 instalado en su versión completa, Posibilidad de conexión a internet.  Se</t>
    </r>
    <r>
      <rPr>
        <b/>
        <sz val="11"/>
        <color rgb="FF000000"/>
        <rFont val="Calibri"/>
        <family val="2"/>
        <scheme val="minor"/>
      </rPr>
      <t xml:space="preserve"> requiere 1 computador portátil por 4 horas.</t>
    </r>
  </si>
  <si>
    <r>
      <rPr>
        <b/>
        <sz val="11"/>
        <color rgb="FF000000"/>
        <rFont val="Calibri"/>
        <family val="2"/>
        <scheme val="minor"/>
      </rPr>
      <t>Sonido profesional:</t>
    </r>
    <r>
      <rPr>
        <sz val="11"/>
        <color rgb="FF000000"/>
        <rFont val="Calibri"/>
        <family val="2"/>
        <scheme val="minor"/>
      </rPr>
      <t xml:space="preserve"> (amplificaciones) requerido para auditorio con capacidad de 200 personas.</t>
    </r>
    <r>
      <rPr>
        <b/>
        <sz val="11"/>
        <color rgb="FF000000"/>
        <rFont val="Calibri"/>
        <family val="2"/>
        <scheme val="minor"/>
      </rPr>
      <t xml:space="preserve"> Se requiere sonido profesional por 4 horas. </t>
    </r>
  </si>
  <si>
    <r>
      <t xml:space="preserve">Micrófono inalámbrico. </t>
    </r>
    <r>
      <rPr>
        <sz val="11"/>
        <rFont val="Calibri"/>
        <family val="2"/>
        <scheme val="minor"/>
      </rPr>
      <t xml:space="preserve">Se requiere micrófono inalámbrico  por 4 horas. </t>
    </r>
    <r>
      <rPr>
        <b/>
        <sz val="11"/>
        <rFont val="Calibri"/>
        <family val="2"/>
        <scheme val="minor"/>
      </rPr>
      <t/>
    </r>
  </si>
  <si>
    <r>
      <t xml:space="preserve">Estación de Café Tipo II: </t>
    </r>
    <r>
      <rPr>
        <sz val="11"/>
        <rFont val="Calibri"/>
        <family val="2"/>
        <scheme val="minor"/>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</si>
  <si>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de acuerdo a la naturaleza del evento. </t>
    </r>
  </si>
  <si>
    <t>TOTAL ESTUDIO DE MERCADO</t>
  </si>
  <si>
    <t>TOTAL ESTUDIO DE MERCADO DIR. EVALUACIÓN</t>
  </si>
  <si>
    <t>TOTAL ESTUDIO DE MERCADO OFC. COMUNICACIONES</t>
  </si>
  <si>
    <t xml:space="preserve">TOTAL PRESUPUESTO </t>
  </si>
  <si>
    <t>PROPONENTE A</t>
  </si>
  <si>
    <t>PROPONENTE B</t>
  </si>
  <si>
    <t>PROPONENTE C</t>
  </si>
  <si>
    <t>PROMEDIO B y C VALOR TOTAL</t>
  </si>
  <si>
    <t>VALOR MÁXIMO POR ITEM INCLUIDO IVA</t>
  </si>
  <si>
    <t>Descripción</t>
  </si>
  <si>
    <t>Cantidad</t>
  </si>
  <si>
    <t>Unidad de Medida</t>
  </si>
  <si>
    <t>Características</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</si>
  <si>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</si>
  <si>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</si>
  <si>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</si>
  <si>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</si>
  <si>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</si>
  <si>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 xml:space="preserve">Pantallas led's de 8 mm pich tecnologia smd out door con estructura portante </t>
  </si>
  <si>
    <t>Pantalla 6.00m X 4.00m</t>
  </si>
  <si>
    <t>Video beam</t>
  </si>
  <si>
    <t>Video Beam 3200 lumenes</t>
  </si>
  <si>
    <t>1 Hora</t>
  </si>
  <si>
    <t>Elaboración de memorias</t>
  </si>
  <si>
    <t>Unidad</t>
  </si>
  <si>
    <t>Diseño de label para CD</t>
  </si>
  <si>
    <t>Producción de label para CD</t>
  </si>
  <si>
    <t>Diseño aviso de prensa tamaño página</t>
  </si>
  <si>
    <t>Diseño aviso de prensa tamaño media página</t>
  </si>
  <si>
    <t>Diseño aviso de prensa tamaño cuarto de página</t>
  </si>
  <si>
    <t>Diseño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</si>
  <si>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</si>
  <si>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</si>
  <si>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</si>
  <si>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</si>
  <si>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</si>
  <si>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</si>
  <si>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</si>
  <si>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</si>
  <si>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</si>
  <si>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</si>
  <si>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</si>
  <si>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</si>
  <si>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</si>
  <si>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</si>
  <si>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</si>
  <si>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</si>
  <si>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</si>
  <si>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Valor Unitario  Incluido IVA</t>
  </si>
  <si>
    <t>1. ESTUDIO DE MERCADOS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</si>
  <si>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</si>
  <si>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</si>
  <si>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Mes</t>
  </si>
  <si>
    <t>Por estrategia</t>
  </si>
  <si>
    <t>Series Web</t>
  </si>
  <si>
    <t>Por palabra</t>
  </si>
  <si>
    <t>Desarrollo de un portal infantil dinámico e interactivo.</t>
  </si>
  <si>
    <t>Video</t>
  </si>
  <si>
    <t>por 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</si>
  <si>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</si>
  <si>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</si>
  <si>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</si>
  <si>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</si>
  <si>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 xml:space="preserve">Concepto creativo, preproducción, producción y posproducción de la serie web de 16 capítulos con una duración de 3 a 5 minutos </t>
  </si>
  <si>
    <t>1.OBJETO</t>
  </si>
  <si>
    <t>Desarrollo del portal web infantil</t>
  </si>
  <si>
    <t>Por el desarrollo</t>
  </si>
  <si>
    <t>Traducción sitio web</t>
  </si>
  <si>
    <t>6, DISEÑO DE UNA ESTRATEGIA DE COMUNICACIÓN PARA EL POSICIONAMIENTO DE LAS PRUEBAS SABER 3,5,7 Y 9</t>
  </si>
  <si>
    <t>JEFE</t>
  </si>
  <si>
    <t>Por Capitulo</t>
  </si>
  <si>
    <t>Diseño de cuarderno  15,5 x 22,5 cms, bond 90 grs 4x4 tintas</t>
  </si>
  <si>
    <t>Producción de cuaderno 15,5 x 22,5 cms, bond 90 grs 4x4 tintas</t>
  </si>
  <si>
    <t>Diseño Calendario a 4 tintas</t>
  </si>
  <si>
    <t xml:space="preserve">Videos en exteriores de 90 segnundos, 2.1 Videos para redes sociales del ICFES. </t>
  </si>
  <si>
    <t>Videos en exteriores de 60 segundos 2.1 Videos para redes sociales del ICFES</t>
  </si>
  <si>
    <t>ITEM</t>
  </si>
  <si>
    <t>De acuerdo a las carateristicas técnicas</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</si>
  <si>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</si>
  <si>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</si>
  <si>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Esfero / Bolígrafo retractil  - Institucional</t>
  </si>
  <si>
    <t xml:space="preserve">Producción Calendario a 4 tintas. </t>
  </si>
  <si>
    <t>Producción de pendón 2.00m X 1.00m.</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</si>
  <si>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60 segundos</t>
  </si>
  <si>
    <t>Diseño de plegable 2 cuerpos, policromia tamaño media carta cerrado</t>
  </si>
  <si>
    <t>Producción de plegable 2 cuerpos policromia, media carta cerrado</t>
  </si>
  <si>
    <t>Diseño de plegable 3 cuerpos tamaño oficio. Policromia</t>
  </si>
  <si>
    <t>Producción de plegable 3 cuerpos tamaño oficio - policromia. - BIBI</t>
  </si>
  <si>
    <t>Diseño de plegable 4 cuerpos tamaño oficio- policromia. - BIBI</t>
  </si>
  <si>
    <t>Producción de plegable tamaño oficio y carta  4 cuerpos -policromia</t>
  </si>
  <si>
    <t xml:space="preserve">Divulgación  Digital. </t>
  </si>
  <si>
    <t>Estudio de Audio</t>
  </si>
  <si>
    <t>Hora</t>
  </si>
  <si>
    <t>Consola de edición de audio, 4 Microfonos, mezclador y convertidor para difrentes formatos de audio, computador, interface, Preamp, DAW o sofware de producción musical, 2 monitores, controlador MIDI, audifonos, tratamiento acustico. Productor tecnico de audio y auxiliar.</t>
  </si>
  <si>
    <t>Equipo Humano:
• 1 camarógrafo
• 1 Sonidista y asistente de cámara
Equipo Técnico
• 1 Cámara Profesional de Video con entradas de Audio Canon
• 1 juego de micrófonos de Solapa (Transmisor y Receptor)
• 1 Micrófono Boom
• Pilas necesarias para cámara y micrófonos
• Si es necesario, un Kit portátil de luces
• Memorias pertinentes para la Cámara
• Computador para la ingesta o descargue del material.
• Trípode para el micrófono
• Cables necesarios para conexiones.</t>
  </si>
  <si>
    <t>Sonido</t>
  </si>
  <si>
    <t>Memorias usb de 4 gb</t>
  </si>
  <si>
    <t>Armado de Kits</t>
  </si>
  <si>
    <t>Video Streaming - Bogotá</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</si>
  <si>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Bogotá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</si>
  <si>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</si>
  <si>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cualquier lugar del territorio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</si>
  <si>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Bolsa tamaño carta,  estampada por una cara en policromia.</t>
  </si>
  <si>
    <t>Portapendon Roll up, Color: Plata, Material: Aluminio, Maletín.  Incluye inducción para el montaje y desmontaje del pendón y sus estructura.</t>
  </si>
  <si>
    <t>Con arañas, resistentes y maletín. Varilla en aluminio flexible. Sistema de enganche con ojaletes Incluye inducción para el montaje y desmontaje del pendón y sus estructura.</t>
  </si>
  <si>
    <t xml:space="preserve">El contratista deberá traducir el sitio web de la Entidad y sus principales secciones a idioma inglés. </t>
  </si>
  <si>
    <t>Incluye la transcripción en herramientas ofimáticas de los aspectos que requiera el ICFES - Hasta 4 horas contínuas y la compilación de las presentaciones que se realicen en el marco del evento.</t>
  </si>
  <si>
    <t>Experiencia Especifica en la actividad Objeto de contratacón</t>
  </si>
  <si>
    <t>Experiencia General</t>
  </si>
  <si>
    <t>Actualización de la Intranet</t>
  </si>
  <si>
    <t>Diseño Plegables a 4 cuerpos 4x4 tintas propalcote 150 gramos.</t>
  </si>
  <si>
    <t>Produccón Plegables a 4 cuerpos 4x4 tintas propalcote 150 gramos.</t>
  </si>
  <si>
    <t>Diseño  Libretas de 50 páginas de tamaño 17 x 21,5 cms pegadas en el lomo caratula en maule calibre 18 y hojas internas en papel bond 90 gramos todo impreso a 4x0 tintas</t>
  </si>
  <si>
    <t>Producción  Libretas de 50 páginas de tamaño 17 x 21,5 cms pegadas en el lomo caratula en maule calibre 18 y hojas internas en papel bond 90 gramos todo impreso a 4x0 tintas</t>
  </si>
  <si>
    <t>Diseño Guías de trabajo de 5 páginas, 2 hojas 4x4 tintas y 1 hoja 4x0 tintas en papel bond 90 gramos grapadas.</t>
  </si>
  <si>
    <t>Producción Guías de trabajo de 5 páginas, 2 hojas 4x4 tintas y 1 hoja 4x0 tintas en papel bond 90 gramos grapadas.</t>
  </si>
  <si>
    <t>Potencializar la Intranet de la institucón  como una herramienta 20 por la cual el Icfes incursione en una cultura digital, colaborativa y de información, lo cual repercuta en un proceso de branding interno.</t>
  </si>
  <si>
    <t>2. 1 AUDIOVISUAL</t>
  </si>
  <si>
    <t>2,1,1</t>
  </si>
  <si>
    <t>2,1,2</t>
  </si>
  <si>
    <t>2,1,3</t>
  </si>
  <si>
    <t>2,1,4</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</si>
  <si>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</si>
  <si>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</si>
  <si>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2,2.MATERIAL IMPRESO Y DISEÑO  PARA DIVULGACIÓN INSTITUCIONAL</t>
  </si>
  <si>
    <t>2,3. DISEÑO E IMPRESIÓN DE MATERIAL PARA LOS TALLERES DE DIVULGACIÓN DE LAS PRUEBAS SABER.</t>
  </si>
  <si>
    <t>2,4.  CANALES DIGITALES</t>
  </si>
  <si>
    <t>2,4,1</t>
  </si>
  <si>
    <t>2,4,2</t>
  </si>
  <si>
    <t>2,4,3</t>
  </si>
  <si>
    <t>2,5. COMUNICACIÓN INTERNA</t>
  </si>
  <si>
    <t>2,5,1</t>
  </si>
  <si>
    <t>2,6.  MONITOREO DE MEDIOS</t>
  </si>
  <si>
    <t>Piezas audiovisuales con graphic recording. 60 Segundos</t>
  </si>
  <si>
    <t>Piezas audiovisuales con graphic recording. 90 Segundos</t>
  </si>
  <si>
    <t>Produccion de carpeta institucional - Tamaño carta y oficio troquelada con bolsillo interior. Policromia</t>
  </si>
  <si>
    <t>Equipo de Reporteria</t>
  </si>
  <si>
    <t>N/A</t>
  </si>
  <si>
    <t>Nombre de la empresa: MARKETMEDIOS COMUNICACIONES</t>
  </si>
  <si>
    <t>Tiempo de existencia del proponente: 13 AÑOS</t>
  </si>
  <si>
    <t xml:space="preserve">Régimen Tributario: </t>
  </si>
  <si>
    <t>Calidad de Mipyme:</t>
  </si>
  <si>
    <t>Nombre de la empresa</t>
  </si>
  <si>
    <t>Tiempo de existencia del proponente</t>
  </si>
  <si>
    <t>Calidad de Mipyme</t>
  </si>
  <si>
    <t>Régimen Tributario</t>
  </si>
  <si>
    <t xml:space="preserve">OBSERVACIONES </t>
  </si>
  <si>
    <t>Un dia de rodjae , mas dias deberan ser recotizados  -  (valor correspondiente a 8 horas)</t>
  </si>
  <si>
    <t>Un dia de rodjae , mas dias deberan ser recotizados - (valor correspondiente a 8 horas)</t>
  </si>
  <si>
    <t>(valor correspondiente a 8 horas)</t>
  </si>
  <si>
    <t>Euipo de Reporteria</t>
  </si>
  <si>
    <t>Impresos en adhesivo a 4 X 0 tintas</t>
  </si>
  <si>
    <t>cantidad minima a producir</t>
  </si>
  <si>
    <t>Impreso a 4 X 4 tintas, sobre esmaltado importado de 150 grs</t>
  </si>
  <si>
    <t>Esfero promocional marcado a una tinta</t>
  </si>
  <si>
    <t>Producción de carpeta institucional - Tamaño carta y oficio troquelada con bolsillo interior. Policromia</t>
  </si>
  <si>
    <t>Impresas a 4 X 4 tintas, sobre esmlatado importado de 300 grs, con plastico brillante por una cara.</t>
  </si>
  <si>
    <t>Portada y contraportada impresas a 4 X 0 tintas. 80 hojas interiores a 1 X 1 tintas sobre bond de 90 grs.</t>
  </si>
  <si>
    <t>Calendario de bolsillo</t>
  </si>
  <si>
    <t>Impresos a 4 X 4 tintas, sobre esmaltado importado de 350 grs, tamaño de 9 X 5,5 cms, con plastico por las 2 caras.</t>
  </si>
  <si>
    <t>Producción Plegables a 4 cuerpos 4x4 tintas propalcote 150 gramos.</t>
  </si>
  <si>
    <t>Valor por Hora</t>
  </si>
  <si>
    <t xml:space="preserve">Solo creación de la estrategia de Campaña </t>
  </si>
  <si>
    <t>Este precio equivale a un FEE mensual para realizar los ajustes de ingenieria</t>
  </si>
  <si>
    <t xml:space="preserve">Esto equivale al alquiler de la herramienta de monitoreo y 20 horas mensuales para el analisis y reportes </t>
  </si>
  <si>
    <t>C01</t>
  </si>
  <si>
    <t>C02</t>
  </si>
  <si>
    <t>PROMEDIO VALOR UNITARIO</t>
  </si>
  <si>
    <t>CO1</t>
  </si>
  <si>
    <t>MARKETMEDIOS COMUNICACIONES</t>
  </si>
  <si>
    <t>CO2</t>
  </si>
  <si>
    <t>REP GREY WORLDWIDE SAS</t>
  </si>
  <si>
    <t xml:space="preserve"> VALOR TOTAL</t>
  </si>
  <si>
    <t>McCANN - ERICKSON CORPORATION S.A.</t>
  </si>
  <si>
    <t>68 años</t>
  </si>
  <si>
    <t>Regimen Común - Gran contribuyente y autorretenedor.</t>
  </si>
  <si>
    <t>Diseño de carpeta institucional - Tamaño carta y oficio troquelada con bolsillo interior. Policromia</t>
  </si>
  <si>
    <t>Sin estructura</t>
  </si>
  <si>
    <t>CO3</t>
  </si>
  <si>
    <t>C03</t>
  </si>
  <si>
    <t>C04</t>
  </si>
  <si>
    <t>OPTIMA TM SAS</t>
  </si>
  <si>
    <t>15 años</t>
  </si>
  <si>
    <t>Mipyme</t>
  </si>
  <si>
    <t>10 años</t>
  </si>
  <si>
    <t>Común</t>
  </si>
  <si>
    <t>Carrera 18 No. 118-08 - PBX: (571)6373702 - FAX: 6372503</t>
  </si>
  <si>
    <t>www.optimatm.com - e-mail: optima@optimatm.com - Bogotá, D.C., Colombia</t>
  </si>
  <si>
    <t>OPTIMA</t>
  </si>
  <si>
    <t>Es la Hora??</t>
  </si>
  <si>
    <t>Incluye la grabacion de memorias de los aspectos que requiera el ICFES -  la compilación de las presentaciones que se realicen en el marco del evento.</t>
  </si>
  <si>
    <t>Fee de Agencia</t>
  </si>
  <si>
    <t>Total Antes de Fee de agencia</t>
  </si>
  <si>
    <t>Fee de agencia</t>
  </si>
  <si>
    <t>Fee de Agencia (7%) Antes de IVA</t>
  </si>
  <si>
    <t>Total Sin IVA</t>
  </si>
  <si>
    <t>Total antes de IVA</t>
  </si>
  <si>
    <t>Gran Total</t>
  </si>
  <si>
    <t>MEDIA GEOMETRICA VALOR UNITARIO</t>
  </si>
  <si>
    <t>DÍA (8 Horas)</t>
  </si>
  <si>
    <t>Divulgación  Digital</t>
  </si>
  <si>
    <t>2.5. COMUNICACIÓN INTERNA</t>
  </si>
  <si>
    <t>2.6.  MONITOREO DE MEDIOS</t>
  </si>
  <si>
    <t>2.2. MATERIAL IMPRESO Y DISEÑO  PARA DIVULGACIÓN INSTITUCIONAL</t>
  </si>
  <si>
    <t>2.3. DISEÑO E IMPRESIÓN DE MATERIAL PARA LOS TALLERES DE DIVULGACIÓN DE LAS PRUEBAS SABER.</t>
  </si>
  <si>
    <t>2.4.  CANALES DIGITALES</t>
  </si>
  <si>
    <t>1. ESTUDIO DE MERCADO</t>
  </si>
  <si>
    <t>BIKE MEDIA</t>
  </si>
  <si>
    <t>1,5 AÑOS</t>
  </si>
  <si>
    <t>Grupo 2</t>
  </si>
  <si>
    <t xml:space="preserve">Amplia Experiencia en Planeacion, desarrollo y ejecucion de contenidos que garanticen el cumplimiento de las Estrategias de Comunicación de nuestros clientes tanto en Colombia como en el exterior </t>
  </si>
  <si>
    <t>Diseño y desarrollo de piezas y contenido para medios de comunicacion que permitan garantizar el cumnplimiento de las estrategias de comunicación externa e interna de nuestros clientes, llevando a cabo un servicio eficiente de monitoreo de medios y desarrollando medios propios como intranet y portales web afines con la Estrategia Integral de Comunicaciones</t>
  </si>
  <si>
    <t>Comun</t>
  </si>
  <si>
    <t>INFORMACIÓN SECOP</t>
  </si>
  <si>
    <t>Item</t>
  </si>
  <si>
    <t>Valor unidad</t>
  </si>
  <si>
    <t>Entidad</t>
  </si>
  <si>
    <t>Link</t>
  </si>
  <si>
    <t>Mterial Audiovisual</t>
  </si>
  <si>
    <t>2014 -2015</t>
  </si>
  <si>
    <t xml:space="preserve">Realización, Post Producción, tomas de aire de 1 video </t>
  </si>
  <si>
    <t>Fondo adaptación</t>
  </si>
  <si>
    <t>Estudios Previos video Gramalote</t>
  </si>
  <si>
    <t>Creación, producción y emisión de 600 cuñas radiales de 20 s para promoción de la campaña de seguridad "En Neiva nos cuidamos entre todos"</t>
  </si>
  <si>
    <t>Alcaldía de Neiva</t>
  </si>
  <si>
    <t>https://www.contratos.gov.co/consultas/detalleProceso.do?numConstancia=15-1-136712</t>
  </si>
  <si>
    <t>Material Impreso</t>
  </si>
  <si>
    <t>Aviso en Revista tamaño 1/2 de página</t>
  </si>
  <si>
    <t>Superintendecia de Industria y Comercio</t>
  </si>
  <si>
    <t>https://www.contratos.gov.co/consultas/detalleProceso.do?numConstancia=14-1-116903</t>
  </si>
  <si>
    <t>Aviso en Revista tamaño 1/4 de página</t>
  </si>
  <si>
    <t>Plegable de 3 cuerpos 4 x 4 en papel propalcote 150 gra</t>
  </si>
  <si>
    <t>Alcaldía Local de Tesauquiillo</t>
  </si>
  <si>
    <t>https://www.contratos.gov.co/consultas/detalleProceso.do?numConstancia=15-11-4413173</t>
  </si>
  <si>
    <t>Plegable 4 cuerpos 4 x 4 en papel propalcote 150 gra. 21,5 x 36</t>
  </si>
  <si>
    <t>Esferos con impresión de marca</t>
  </si>
  <si>
    <t>Alcaldía Mayor de Bogotá</t>
  </si>
  <si>
    <t>file:///C:/Users/dbuitrago/Downloads/DA_PROCESO_15-11-4212798_01002025_16217272.pdf</t>
  </si>
  <si>
    <t>11,5 x 18 cms (cerrado) 50 hojas internas papel bond 75 grs, con marca de agua portadas en propalcote esmaltado brillante de 250 grs a 4 tintas anilladas</t>
  </si>
  <si>
    <t>Dian</t>
  </si>
  <si>
    <t>https://www.contratos.gov.co/consultas/detalleProceso.do?numConstancia=14-1-114899</t>
  </si>
  <si>
    <t>Calendario con programador tamaño 22 x 15,7 cms 13 hojas interiores en propalcote 200 gr tinta 4 x 4 base laminado a anbos lados, carton ultra 0,48 mm</t>
  </si>
  <si>
    <t>Alcaldía de Itagüi</t>
  </si>
  <si>
    <t>https://www.contratos.gov.co/consultas/detalleProceso.do?numConstancia=15-1-136964</t>
  </si>
  <si>
    <t>2014
HISTORICOS ICFES</t>
  </si>
  <si>
    <t>CONVOCATORIA</t>
  </si>
  <si>
    <t>2015
HISTORICOS ICFES</t>
  </si>
  <si>
    <t>CTRY</t>
  </si>
  <si>
    <t>CP04-204</t>
  </si>
  <si>
    <t>CP-006-2014</t>
  </si>
  <si>
    <t>Producción de plegable 3 cuerpos tamaño oficio - policromia.</t>
  </si>
  <si>
    <t xml:space="preserve">Diseño de plegable 4 cuerpos tamaño oficio- policromia. </t>
  </si>
  <si>
    <t>ICFES 2015</t>
  </si>
  <si>
    <t xml:space="preserve">Formato No. 8 - Oferta Económica - Valores Unitarios </t>
  </si>
  <si>
    <t>SERVICIOS DE OPERADOR LOGÍSTICO</t>
  </si>
  <si>
    <t>1. TALENTO HUMANO</t>
  </si>
  <si>
    <t>Valor Unitario antes de IVA</t>
  </si>
  <si>
    <t>Coordinador general</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</si>
  <si>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</si>
  <si>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</si>
  <si>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</si>
  <si>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</si>
  <si>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</si>
  <si>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</si>
  <si>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</si>
  <si>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</si>
  <si>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</si>
  <si>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</si>
  <si>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</si>
  <si>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</si>
  <si>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</si>
  <si>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</si>
  <si>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</si>
  <si>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4.00m X 4.00m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</si>
  <si>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</si>
  <si>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</si>
  <si>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</si>
  <si>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</si>
  <si>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</si>
  <si>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</si>
  <si>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</si>
  <si>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</si>
  <si>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</si>
  <si>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</si>
  <si>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</si>
  <si>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</si>
  <si>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</si>
  <si>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</si>
  <si>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</si>
  <si>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</si>
  <si>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</si>
  <si>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</si>
  <si>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</si>
  <si>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9.00m X 6.00m</t>
  </si>
  <si>
    <t>Atril</t>
  </si>
  <si>
    <t>1 día</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</si>
  <si>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</si>
  <si>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</si>
  <si>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</si>
  <si>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</si>
  <si>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</si>
  <si>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</si>
  <si>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</si>
  <si>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</si>
  <si>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</si>
  <si>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Computadores e impresoras</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</si>
  <si>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</si>
  <si>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</si>
  <si>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</si>
  <si>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</si>
  <si>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</si>
  <si>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</si>
  <si>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</si>
  <si>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</si>
  <si>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</si>
  <si>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Servicio de traducción simultánea y/o lenguaje de señas</t>
  </si>
  <si>
    <t>dia</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</si>
  <si>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</si>
  <si>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</si>
  <si>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</si>
  <si>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</si>
  <si>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</si>
  <si>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eléctrica</t>
  </si>
  <si>
    <t>Planta de 6 kva insonora</t>
  </si>
  <si>
    <t>Planta de 75 kva insonora</t>
  </si>
  <si>
    <t>Planta de 120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</si>
  <si>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</si>
  <si>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</si>
  <si>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</si>
  <si>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</si>
  <si>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</si>
  <si>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</si>
  <si>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</si>
  <si>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</si>
  <si>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</si>
  <si>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</si>
  <si>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</si>
  <si>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</si>
  <si>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</si>
  <si>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</si>
  <si>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</si>
  <si>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</si>
  <si>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</si>
  <si>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</si>
  <si>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</si>
  <si>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</si>
  <si>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</si>
  <si>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</si>
  <si>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</si>
  <si>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</si>
  <si>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</si>
  <si>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</si>
  <si>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</si>
  <si>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</si>
  <si>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</si>
  <si>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</si>
  <si>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</si>
  <si>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</si>
  <si>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</si>
  <si>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</si>
  <si>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</si>
  <si>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</si>
  <si>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</si>
  <si>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</si>
  <si>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</si>
  <si>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Transporte terrestre</t>
  </si>
  <si>
    <t>Bus para 40 personas, mod 2010 en adelante.</t>
  </si>
  <si>
    <t>Aerovan para 15 Personas, mod 2010 en adelante.</t>
  </si>
  <si>
    <t>Automóvil para 4 personas, mod 2010 en adelante.</t>
  </si>
  <si>
    <t>Vehículo de carga hasta 1 Tonelada</t>
  </si>
  <si>
    <t>Vehículo de carga hasta 3 Toneladas</t>
  </si>
  <si>
    <t>Vehículo de carga hasta 5 Toneladas</t>
  </si>
  <si>
    <t>Salones / Auditorios /Teatros</t>
  </si>
  <si>
    <t>Capacidad para 1000 personas</t>
  </si>
  <si>
    <t>Capacidad para 500 personas</t>
  </si>
  <si>
    <t>Capacidad para 250 personas</t>
  </si>
  <si>
    <t>Capacidad para 100 personas</t>
  </si>
  <si>
    <t>Capacidad para 50 personas</t>
  </si>
  <si>
    <t>Servicio de internet inalámbrico de alta velocidad</t>
  </si>
  <si>
    <t>Capacidad para 2 equipos</t>
  </si>
  <si>
    <t>Capaciadad entre 3 y 5 equipos</t>
  </si>
  <si>
    <t>Capaciadad entre 6 y 10 equipos</t>
  </si>
  <si>
    <t>Servicio de Wi Fi de 5Gb  a 10 Gb</t>
  </si>
  <si>
    <t>Servicio de Wi Fi superior a 10 Gb</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</si>
  <si>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</si>
  <si>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</si>
  <si>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Video Streaming</t>
  </si>
  <si>
    <t xml:space="preserve">1 hora de </t>
  </si>
  <si>
    <t>Disposición de todos los recursos, técnicos, tecnológicos, humanos y de todo orden, para realizar 1 hora de transmisión.
Transmisión vía Streaming de eventos institucionales, de acuerdo con las necesidades de la Entidad.</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</si>
  <si>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</si>
  <si>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</si>
  <si>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</si>
  <si>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</si>
  <si>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</si>
  <si>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</si>
  <si>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</si>
  <si>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</si>
  <si>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</si>
  <si>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</si>
  <si>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</si>
  <si>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</si>
  <si>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</si>
  <si>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</si>
  <si>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</si>
  <si>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</si>
  <si>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</si>
  <si>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</si>
  <si>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r>
      <rPr>
        <u/>
        <sz val="8"/>
        <color theme="1"/>
        <rFont val="Arial Narrow"/>
        <family val="2"/>
      </rPr>
      <t>Base de datos de asistentes:</t>
    </r>
    <r>
      <rPr>
        <sz val="8"/>
        <color theme="1"/>
        <rFont val="Arial Narrow"/>
        <family val="2"/>
      </rPr>
      <t xml:space="preserve">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r>
  </si>
  <si>
    <t>Invitación enviada</t>
  </si>
  <si>
    <r>
      <rPr>
        <u/>
        <sz val="8"/>
        <color theme="1"/>
        <rFont val="Arial Narrow"/>
        <family val="2"/>
      </rPr>
      <t>Invitaciones VIP:</t>
    </r>
    <r>
      <rPr>
        <sz val="8"/>
        <color theme="1"/>
        <rFont val="Arial Narrow"/>
        <family val="2"/>
      </rPr>
      <t xml:space="preserve"> El ICFES suministrará aproximadamente doscientas (200) invitaciones y El CONTRATISTA deberá enviarlas a través de correo certificado a las direcciones ubicadas en el territorio nacional donde se encuentre el invitado.</t>
    </r>
  </si>
  <si>
    <t>Correo electrónico enviado y confirmado</t>
  </si>
  <si>
    <r>
      <rPr>
        <u/>
        <sz val="8"/>
        <color theme="1"/>
        <rFont val="Arial Narrow"/>
        <family val="2"/>
      </rPr>
      <t>Invitaciones correo electrónico – masivo:</t>
    </r>
    <r>
      <rPr>
        <sz val="8"/>
        <color theme="1"/>
        <rFont val="Arial Narrow"/>
        <family val="2"/>
      </rPr>
      <t xml:space="preserve"> El ICFES le entregará al CONTRATISTA el diseño de la invitación electrónica y este deberá enviarla de forma masiva a los invitados que el supervisor del contrato le indique.</t>
    </r>
  </si>
  <si>
    <t>Afiche entregado</t>
  </si>
  <si>
    <r>
      <rPr>
        <u/>
        <sz val="8"/>
        <color theme="1"/>
        <rFont val="Arial Narrow"/>
        <family val="2"/>
      </rPr>
      <t>Envío de afiches:</t>
    </r>
    <r>
      <rPr>
        <sz val="8"/>
        <color theme="1"/>
        <rFont val="Arial Narrow"/>
        <family val="2"/>
      </rPr>
      <t xml:space="preserve">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r>
  </si>
  <si>
    <t>Persona Confirmada</t>
  </si>
  <si>
    <r>
      <rPr>
        <u/>
        <sz val="8"/>
        <color theme="1"/>
        <rFont val="Arial Narrow"/>
        <family val="2"/>
      </rPr>
      <t>Confirmación de asistencia y control de recaudos</t>
    </r>
    <r>
      <rPr>
        <sz val="8"/>
        <color theme="1"/>
        <rFont val="Arial Narrow"/>
        <family val="2"/>
      </rPr>
      <t>: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r>
  </si>
  <si>
    <t>Línea Telefónica habilitada</t>
  </si>
  <si>
    <r>
      <rPr>
        <u/>
        <sz val="8"/>
        <color theme="1"/>
        <rFont val="Arial Narrow"/>
        <family val="2"/>
      </rPr>
      <t>Atención personalizada interesados en el evento</t>
    </r>
    <r>
      <rPr>
        <sz val="8"/>
        <color theme="1"/>
        <rFont val="Arial Narrow"/>
        <family val="2"/>
      </rPr>
      <t xml:space="preserve">: El operador logístico deberá proveer una línea telefónica de atención en la cual se brinde información general del evento a las personas interesadas.  </t>
    </r>
    <r>
      <rPr>
        <b/>
        <u/>
        <sz val="8"/>
        <color theme="1"/>
        <rFont val="Arial Narrow"/>
        <family val="2"/>
      </rPr>
      <t>POR DÍA</t>
    </r>
  </si>
  <si>
    <t>Asistente registrado, con escarapela diligenciada y entregada</t>
  </si>
  <si>
    <r>
      <rPr>
        <u/>
        <sz val="8"/>
        <color theme="1"/>
        <rFont val="Arial Narrow"/>
        <family val="2"/>
      </rPr>
      <t>Control y registro de los asistentes:</t>
    </r>
    <r>
      <rPr>
        <sz val="8"/>
        <color theme="1"/>
        <rFont val="Arial Narrow"/>
        <family val="2"/>
      </rPr>
      <t xml:space="preserve">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r>
  </si>
  <si>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</si>
  <si>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</si>
  <si>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</si>
  <si>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r>
      <rPr>
        <u/>
        <sz val="8"/>
        <color theme="1"/>
        <rFont val="Arial Narrow"/>
        <family val="2"/>
      </rPr>
      <t>Estación de café completa:</t>
    </r>
    <r>
      <rPr>
        <sz val="8"/>
        <color theme="1"/>
        <rFont val="Arial Narrow"/>
        <family val="2"/>
      </rPr>
      <t xml:space="preserve"> Se requiere una estación de café que deberá suministrar café, té, o aromáticas para setecientas (700) personas. La estación deberá ser ubicada en sitio anexo al salón A, y deberá estar dotada con  menaje, meseros y todo lo necesario para su funcionamiento. </t>
    </r>
  </si>
  <si>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</si>
  <si>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</si>
  <si>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</si>
  <si>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</si>
  <si>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</si>
  <si>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</si>
  <si>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Noche de hotel de mínimo 4 estrellas en acomodación sencilla</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</si>
  <si>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</si>
  <si>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</si>
  <si>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</si>
  <si>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</si>
  <si>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</si>
  <si>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</si>
  <si>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</si>
  <si>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</si>
  <si>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</si>
  <si>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</si>
  <si>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</si>
  <si>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</si>
  <si>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</si>
  <si>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</si>
  <si>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</si>
  <si>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</si>
  <si>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</si>
  <si>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</si>
  <si>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</si>
  <si>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</si>
  <si>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</si>
  <si>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</si>
  <si>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</si>
  <si>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</si>
  <si>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</si>
  <si>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</si>
  <si>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</si>
  <si>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</si>
  <si>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</si>
  <si>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</si>
  <si>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</si>
  <si>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</si>
  <si>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</si>
  <si>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</si>
  <si>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</si>
  <si>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</si>
  <si>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</si>
  <si>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</si>
  <si>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</si>
  <si>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Memoria USB 2 Gb</t>
  </si>
  <si>
    <t>Memoria USB 4 Gb</t>
  </si>
  <si>
    <t>Memoria USB 8 Gb</t>
  </si>
  <si>
    <t>Memoria USB 16 Gb</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</si>
  <si>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</si>
  <si>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</si>
  <si>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</si>
  <si>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</si>
  <si>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</si>
  <si>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</si>
  <si>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</si>
  <si>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</si>
  <si>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Producción de pendón 2.00m X 1.00m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</si>
  <si>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</si>
  <si>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</si>
  <si>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</si>
  <si>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</si>
  <si>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</si>
  <si>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</si>
  <si>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</si>
  <si>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</si>
  <si>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</si>
  <si>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</si>
  <si>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</si>
  <si>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</si>
  <si>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</si>
  <si>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</si>
  <si>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</si>
  <si>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</si>
  <si>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</si>
  <si>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</si>
  <si>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</si>
  <si>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</si>
  <si>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</si>
  <si>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</si>
  <si>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</si>
  <si>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</si>
  <si>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N.A</t>
  </si>
  <si>
    <t>$1’084.686</t>
  </si>
  <si>
    <t>Label</t>
  </si>
  <si>
    <t>file:///C:/Users/mmendez/Downloads/DA_PROCESO_12-13-1208708_225000001_5511867.pdf</t>
  </si>
  <si>
    <t>file:///C:/Users/mmendez/Downloads/DA_PROCESO_14-13-2574065_133001000_10186573.pdf</t>
  </si>
  <si>
    <t>Diseñoaviso de prensa</t>
  </si>
  <si>
    <t xml:space="preserve">Valor </t>
  </si>
  <si>
    <t>Entidad/Fecha</t>
  </si>
  <si>
    <t>3. Aviso deprensa tamaño media página</t>
  </si>
  <si>
    <t>10 cms x 3 coles</t>
  </si>
  <si>
    <t>Tinta Blanco y negro</t>
  </si>
  <si>
    <t>Min Cultura 2013</t>
  </si>
  <si>
    <t>7. Plegable dos cuerpos</t>
  </si>
  <si>
    <t>Plegables dos (2) cuerpos tamaño oficio. Cantidad 66.400 plegables.</t>
  </si>
  <si>
    <t>$133.40 valor unitario</t>
  </si>
  <si>
    <t>$8.857.760 valor total</t>
  </si>
  <si>
    <t>Copnia 2009</t>
  </si>
  <si>
    <t>9. Plegable tres cuerpos</t>
  </si>
  <si>
    <t>Tamaño abierto: 36 x 17 cm</t>
  </si>
  <si>
    <t>Tamaño cerrado: 12 x 17 cm</t>
  </si>
  <si>
    <t>Tintas: 2 x 2</t>
  </si>
  <si>
    <t>Papel propalcote 150 gr</t>
  </si>
  <si>
    <t>Cantidad 10.000</t>
  </si>
  <si>
    <t>$280 valor unitario</t>
  </si>
  <si>
    <t>$2.800.000 valor total</t>
  </si>
  <si>
    <t>IDARTES 2015</t>
  </si>
  <si>
    <t>10. Plegable 4 cuerpos</t>
  </si>
  <si>
    <t>Tamaño abierto 48 x12 cm</t>
  </si>
  <si>
    <t>Tintas 4x4</t>
  </si>
  <si>
    <t>Cantidad 5.000</t>
  </si>
  <si>
    <t>$ 300 valor unitario</t>
  </si>
  <si>
    <t>$1.500.000 valor total</t>
  </si>
  <si>
    <t>12. Esfero retráctil institucional</t>
  </si>
  <si>
    <t>Impresión a 1 tinta por una cara color y estilo según muestra</t>
  </si>
  <si>
    <t>Cantidad 5000</t>
  </si>
  <si>
    <t>$1150 valor unitario</t>
  </si>
  <si>
    <t xml:space="preserve">$5750000 valor total </t>
  </si>
  <si>
    <t>DESCRIPCIÓN</t>
  </si>
  <si>
    <t>VALOR</t>
  </si>
  <si>
    <t>ENTIDAD</t>
  </si>
  <si>
    <t>Videos</t>
  </si>
  <si>
    <t>Videos en exteriores de 90 segundos.</t>
  </si>
  <si>
    <t>Colfuturo 2015</t>
  </si>
  <si>
    <t>Videos en exteriores de 60 segundos.</t>
  </si>
  <si>
    <t>Piezas Audiovisuales con GraphicRecording de 60 y 90 segundos</t>
  </si>
  <si>
    <t>17.000.000 (60 segundos)</t>
  </si>
  <si>
    <t>20.000.000 (90 Segundos)</t>
  </si>
  <si>
    <t>Ministerio de Educación Nacional 2015</t>
  </si>
  <si>
    <t>Spot Institucional promocional de 30 segundos</t>
  </si>
  <si>
    <t>Minga 2015</t>
  </si>
  <si>
    <t>Serie Web de 5 minutos máximo por capítulo</t>
  </si>
  <si>
    <t>Diaconia 2015</t>
  </si>
  <si>
    <t>Streaming</t>
  </si>
  <si>
    <t>Video Streaming para Internet en Bogotá</t>
  </si>
  <si>
    <t>David Alba Producciones SAS 2015</t>
  </si>
  <si>
    <t>ORG. Axon360 2014 (Contraloria Cundinamarca)</t>
  </si>
  <si>
    <t>Simplex S.A. 2014 (Contraloria Cundinamarca)</t>
  </si>
  <si>
    <t>Plataforma Comunicaciones S.A. 2015</t>
  </si>
  <si>
    <t>Video Streaming para Internet Nacional</t>
  </si>
  <si>
    <t>Estudio</t>
  </si>
  <si>
    <t>Estudio de grabación de audio por hora</t>
  </si>
  <si>
    <t>Calendario</t>
  </si>
  <si>
    <t>Diseño Calendario 4 tintas</t>
  </si>
  <si>
    <t>Fonan – Proceso 008 2014</t>
  </si>
  <si>
    <t>Parques Nacionales CSC-011-n2013</t>
  </si>
  <si>
    <t>Pendón</t>
  </si>
  <si>
    <t>Diseño de Pendón 2x1</t>
  </si>
  <si>
    <t>Contraloría Municipal de Bucaramanga 2014</t>
  </si>
  <si>
    <t>Producción de Pendón 2x1</t>
  </si>
  <si>
    <t>Idartes 2015</t>
  </si>
  <si>
    <t>Diseño de Pendón 2x2</t>
  </si>
  <si>
    <t>Diseño Pendón 3x1</t>
  </si>
  <si>
    <t>Contraloría Bogotá 2015</t>
  </si>
  <si>
    <t>Producción Pendón 3x1</t>
  </si>
  <si>
    <t>INSTITUCIÓN EDUCATIVA DISTRITAL EL PARAÍSO – Barranquila 2014</t>
  </si>
  <si>
    <t>Diseño Pendón 3x2</t>
  </si>
  <si>
    <t>Lotería Santander 2014</t>
  </si>
  <si>
    <t>Producción Pendón 3x2</t>
  </si>
  <si>
    <t>Diseño Pendón 3x3</t>
  </si>
  <si>
    <t>Diseño Pendón 6x1</t>
  </si>
  <si>
    <t>Corporación Autónoma Regional del Valle del Cauca 2014</t>
  </si>
  <si>
    <t>Producción Pendón 6x1</t>
  </si>
  <si>
    <t>Diseño Pendón 6x3</t>
  </si>
  <si>
    <t>Producción Pendón 6x3</t>
  </si>
  <si>
    <t>MEDIA GEOMETRICA</t>
  </si>
  <si>
    <t>MEDIA ARITMETICA</t>
  </si>
  <si>
    <t>TOTAL CON MEDIA GEOMETRICA</t>
  </si>
  <si>
    <t>TOTAL CON MEDIA ARITMETICA</t>
  </si>
  <si>
    <t>FUENTE</t>
  </si>
  <si>
    <t>IDEARTES</t>
  </si>
  <si>
    <t>Alcaldía de Manizales 2014</t>
  </si>
  <si>
    <t>Lotería del Meta</t>
  </si>
  <si>
    <t>Nexura Internacional 2015</t>
  </si>
  <si>
    <t xml:space="preserve">David Alba Producciones SAS 2015 </t>
  </si>
  <si>
    <t>IDRD</t>
  </si>
  <si>
    <t>MIN TIC</t>
  </si>
  <si>
    <t>AGENCIA NACIONAL DEL ESPECTRO (ANE)</t>
  </si>
  <si>
    <t>PROCESO /</t>
  </si>
  <si>
    <t xml:space="preserve">C0T 1 </t>
  </si>
  <si>
    <t>Fuente SECOP</t>
  </si>
  <si>
    <t>Fondo adaptación 2015</t>
  </si>
  <si>
    <t>Fee de Agencia  Antes de IVA</t>
  </si>
  <si>
    <t>C0T 2</t>
  </si>
  <si>
    <t>Ejercito</t>
  </si>
  <si>
    <t xml:space="preserve">C03 </t>
  </si>
  <si>
    <t>Diseño e implementación del portal web infantil</t>
  </si>
  <si>
    <t>TOPE MAX CON IVA</t>
  </si>
  <si>
    <t>IVA</t>
  </si>
  <si>
    <t>%</t>
  </si>
  <si>
    <t>Total</t>
  </si>
  <si>
    <t>GRAN TOTAL</t>
  </si>
  <si>
    <t xml:space="preserve">Fee de Agencia (% ) </t>
  </si>
  <si>
    <t xml:space="preserve">Formato No. 4 de Oferta Económica </t>
  </si>
  <si>
    <t>VALOR TOTAL ANTES DE IVA</t>
  </si>
  <si>
    <t>TOPE MAX  ANTES DE IVA</t>
  </si>
  <si>
    <t>TOPE MÁXIMO VALOR TOTAL ANTES DE IVA</t>
  </si>
  <si>
    <t>Total Antes de IVA</t>
  </si>
  <si>
    <t>COMPONENTE</t>
  </si>
  <si>
    <t>UNIDAD DE MEDIDA</t>
  </si>
  <si>
    <t>CANTIDAD</t>
  </si>
  <si>
    <t>&lt;</t>
  </si>
  <si>
    <t>Capitulo</t>
  </si>
  <si>
    <t>Día (8 Horas)</t>
  </si>
  <si>
    <t>Divulgación Digital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</si>
</sst>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quot;$&quot;* #,##0.00_);_(&quot;$&quot;* \(#,##0.00\);_(&quot;$&quot;* &quot;-&quot;??_);_(@_)"/>
    <numFmt numFmtId="165" formatCode="_(&quot;$&quot;\ * #,##0_);_(&quot;$&quot;\ * \(#,##0\);_(&quot;$&quot;\ * &quot;-&quot;??_);_(@_)"/>
    <numFmt numFmtId="166" formatCode="_(* #,##0_);_(* \(#,##0\);_(* &quot;-&quot;??_);_(@_)"/>
    <numFmt numFmtId="167" formatCode="&quot;$&quot;#,##0"/>
    <numFmt numFmtId="168" formatCode="&quot;$&quot;\ #,##0"/>
    <numFmt numFmtId="169" formatCode="[$$-240A]#,##0"/>
    <numFmt numFmtId="170" formatCode="_(* #,##0.0_);_(* \(#,##0.0\);_(* &quot;-&quot;??_);_(@_)"/>
    <numFmt numFmtId="171" formatCode="_-* #,##0_-;\-* #,##0_-;_-* &quot;-&quot;_-;_-@_-"/>
  </numFmts>
  <fonts count="53" x14ac:knownFonts="1">
    <font>
      <sz val="11"/>
      <color theme="1"/>
      <name val="Calibri"/>
      <family val="2"/>
      <scheme val="minor"/>
    </font>
    <font>
      <sz val="10"/>
      <name val="Arial"/>
      <family val="2"/>
    </font>
    <font>
      <b/>
      <sz val="1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0"/>
      <color theme="1"/>
      <name val="Arial"/>
      <family val="2"/>
    </font>
    <font>
      <sz val="11"/>
      <color theme="1"/>
      <name val="Calibri"/>
      <family val="2"/>
      <scheme val="minor"/>
    </font>
    <font>
      <b/>
      <sz val="16"/>
      <color theme="1"/>
      <name val="Calibri"/>
      <family val="2"/>
      <scheme val="minor"/>
    </font>
    <font>
      <b/>
      <sz val="12"/>
      <color theme="0"/>
      <name val="Calibri"/>
      <family val="2"/>
      <scheme val="minor"/>
    </font>
    <font>
      <b/>
      <sz val="18"/>
      <color theme="1"/>
      <name val="Calibri"/>
      <family val="2"/>
      <scheme val="minor"/>
    </font>
    <font>
      <sz val="16"/>
      <color theme="1"/>
      <name val="Calibri"/>
      <family val="2"/>
      <scheme val="minor"/>
    </font>
    <font>
      <b/>
      <sz val="14"/>
      <color theme="1"/>
      <name val="Calibri"/>
      <family val="2"/>
      <scheme val="minor"/>
    </font>
    <font>
      <b/>
      <sz val="16"/>
      <color theme="0"/>
      <name val="Calibri"/>
      <family val="2"/>
      <scheme val="minor"/>
    </font>
    <font>
      <b/>
      <sz val="20"/>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8"/>
      <color theme="0"/>
      <name val="Calibri"/>
      <family val="2"/>
      <scheme val="minor"/>
    </font>
    <font>
      <b/>
      <sz val="10"/>
      <color theme="1" tint="0.499984740745262"/>
      <name val="Calibri"/>
      <family val="2"/>
      <scheme val="minor"/>
    </font>
    <font>
      <b/>
      <sz val="8"/>
      <color theme="1"/>
      <name val="Calibri"/>
      <family val="2"/>
      <scheme val="minor"/>
    </font>
    <font>
      <u/>
      <sz val="11"/>
      <color theme="10"/>
      <name val="Calibri"/>
      <family val="2"/>
      <scheme val="minor"/>
    </font>
    <font>
      <sz val="10"/>
      <color rgb="FFFF0000"/>
      <name val="Calibri"/>
      <family val="2"/>
      <scheme val="minor"/>
    </font>
    <font>
      <sz val="10"/>
      <color theme="3" tint="0.39997558519241921"/>
      <name val="Calibri"/>
      <family val="2"/>
      <scheme val="minor"/>
    </font>
    <font>
      <b/>
      <sz val="11"/>
      <color theme="1"/>
      <name val="Arial Narrow"/>
      <family val="2"/>
    </font>
    <font>
      <sz val="8"/>
      <name val="Arial Narrow"/>
      <family val="2"/>
    </font>
    <font>
      <b/>
      <sz val="14"/>
      <color theme="1"/>
      <name val="Arial Narrow"/>
      <family val="2"/>
    </font>
    <font>
      <sz val="8"/>
      <color theme="1"/>
      <name val="Arial Narrow"/>
      <family val="2"/>
    </font>
    <font>
      <b/>
      <sz val="8"/>
      <color theme="0"/>
      <name val="Arial Narrow"/>
      <family val="2"/>
    </font>
    <font>
      <b/>
      <sz val="8"/>
      <name val="Arial Narrow"/>
      <family val="2"/>
    </font>
    <font>
      <sz val="8"/>
      <color rgb="FF000000"/>
      <name val="Arial Narrow"/>
      <family val="2"/>
    </font>
    <font>
      <u/>
      <sz val="8"/>
      <color theme="1"/>
      <name val="Arial Narrow"/>
      <family val="2"/>
    </font>
    <font>
      <b/>
      <u/>
      <sz val="8"/>
      <color theme="1"/>
      <name val="Arial Narrow"/>
      <family val="2"/>
    </font>
    <font>
      <sz val="8"/>
      <color theme="1" tint="0.499984740745262"/>
      <name val="Arial Narrow"/>
      <family val="2"/>
    </font>
    <font>
      <b/>
      <sz val="10"/>
      <color theme="0"/>
      <name val="Arial Narrow"/>
      <family val="2"/>
    </font>
    <font>
      <b/>
      <sz val="12"/>
      <color theme="0"/>
      <name val="Arial Narrow"/>
      <family val="2"/>
    </font>
    <font>
      <sz val="12"/>
      <name val="Arial Narrow"/>
      <family val="2"/>
    </font>
    <font>
      <b/>
      <sz val="14"/>
      <color theme="0"/>
      <name val="Arial Narrow"/>
      <family val="2"/>
    </font>
    <font>
      <sz val="9"/>
      <color theme="1"/>
      <name val="Arial Narrow"/>
      <family val="2"/>
    </font>
    <font>
      <sz val="12"/>
      <color theme="1"/>
      <name val="Cambria"/>
      <family val="1"/>
    </font>
    <font>
      <sz val="11"/>
      <color rgb="FF0E0C2E"/>
      <name val="Arial"/>
      <family val="2"/>
    </font>
    <font>
      <sz val="10"/>
      <color theme="1"/>
      <name val="Cambria"/>
      <family val="1"/>
    </font>
    <font>
      <b/>
      <sz val="10"/>
      <color theme="0"/>
      <name val="Arial"/>
      <family val="2"/>
    </font>
    <font>
      <sz val="10"/>
      <color theme="1"/>
      <name val="Arial"/>
      <family val="2"/>
    </font>
    <font>
      <sz val="10"/>
      <color theme="0"/>
      <name val="Arial"/>
      <family val="2"/>
    </font>
    <font>
      <b/>
      <sz val="12"/>
      <color theme="0"/>
      <name val="Arial"/>
      <family val="2"/>
    </font>
    <font>
      <sz val="9"/>
      <color indexed="81"/>
      <name val="Tahoma"/>
      <family val="2"/>
    </font>
    <font>
      <b/>
      <sz val="9"/>
      <color indexed="81"/>
      <name val="Tahoma"/>
      <family val="2"/>
    </font>
  </fonts>
  <fills count="2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0.249977111117893"/>
        <bgColor indexed="64"/>
      </patternFill>
    </fill>
  </fills>
  <borders count="6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right/>
      <top style="thin">
        <color auto="1"/>
      </top>
      <bottom style="thin">
        <color auto="1"/>
      </bottom>
      <diagonal/>
    </border>
    <border>
      <left/>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style="medium">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indexed="64"/>
      </right>
      <top/>
      <bottom style="medium">
        <color indexed="64"/>
      </bottom>
      <diagonal/>
    </border>
    <border>
      <left/>
      <right style="medium">
        <color indexed="64"/>
      </right>
      <top/>
      <bottom/>
      <diagonal/>
    </border>
  </borders>
  <cellStyleXfs count="13">
    <xf numFmtId="0" fontId="0" fillId="0" borderId="0"/>
    <xf numFmtId="0" fontId="1" fillId="0" borderId="0"/>
    <xf numFmtId="164" fontId="1"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43"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26" fillId="0" borderId="0" applyNumberFormat="0" applyFill="0" applyBorder="0" applyAlignment="0" applyProtection="0"/>
    <xf numFmtId="0" fontId="1" fillId="0" borderId="0"/>
    <xf numFmtId="0" fontId="1" fillId="0" borderId="0"/>
  </cellStyleXfs>
  <cellXfs count="675">
    <xf numFmtId="0" fontId="0" fillId="0" borderId="0" xfId="0"/>
    <xf numFmtId="0" fontId="0" fillId="2" borderId="0" xfId="0" applyFont="1" applyFill="1"/>
    <xf numFmtId="0" fontId="0" fillId="2" borderId="0" xfId="0" applyFont="1" applyFill="1" applyAlignment="1">
      <alignment horizontal="center"/>
    </xf>
    <xf numFmtId="0" fontId="3" fillId="2" borderId="4" xfId="0" applyFont="1" applyFill="1" applyBorder="1" applyAlignment="1">
      <alignment horizontal="justify" vertical="center" wrapText="1"/>
    </xf>
    <xf numFmtId="0" fontId="4"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6" fillId="2" borderId="4" xfId="0" applyFont="1" applyFill="1" applyBorder="1" applyAlignment="1">
      <alignment horizontal="justify" vertical="center" wrapText="1"/>
    </xf>
    <xf numFmtId="0" fontId="8" fillId="2" borderId="0" xfId="0" applyFont="1" applyFill="1" applyAlignment="1">
      <alignment horizontal="center" wrapText="1"/>
    </xf>
    <xf numFmtId="0" fontId="2" fillId="2" borderId="4" xfId="0" applyFont="1" applyFill="1" applyBorder="1" applyAlignment="1">
      <alignment horizontal="justify" vertical="center" wrapText="1"/>
    </xf>
    <xf numFmtId="165" fontId="0" fillId="2" borderId="4" xfId="3" applyNumberFormat="1" applyFont="1" applyFill="1" applyBorder="1"/>
    <xf numFmtId="165" fontId="0" fillId="2" borderId="2" xfId="3" applyNumberFormat="1" applyFont="1" applyFill="1" applyBorder="1"/>
    <xf numFmtId="165" fontId="0" fillId="2" borderId="0" xfId="3" applyNumberFormat="1" applyFont="1" applyFill="1"/>
    <xf numFmtId="165" fontId="8" fillId="2" borderId="0" xfId="3" applyNumberFormat="1" applyFont="1" applyFill="1" applyAlignment="1">
      <alignment horizontal="center" wrapText="1"/>
    </xf>
    <xf numFmtId="0" fontId="6" fillId="2" borderId="1" xfId="0" applyFont="1" applyFill="1" applyBorder="1" applyAlignment="1">
      <alignment horizontal="justify" vertical="center" wrapText="1"/>
    </xf>
    <xf numFmtId="165" fontId="0" fillId="2" borderId="1" xfId="3" applyNumberFormat="1" applyFont="1" applyFill="1" applyBorder="1"/>
    <xf numFmtId="0" fontId="6" fillId="2" borderId="2" xfId="0" applyFont="1" applyFill="1" applyBorder="1" applyAlignment="1">
      <alignment horizontal="justify" vertical="center" wrapText="1"/>
    </xf>
    <xf numFmtId="165" fontId="0" fillId="2" borderId="3" xfId="3" applyNumberFormat="1" applyFont="1" applyFill="1" applyBorder="1"/>
    <xf numFmtId="0" fontId="0"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Alignment="1">
      <alignment horizont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5" fontId="0" fillId="4" borderId="1" xfId="3" applyNumberFormat="1" applyFont="1" applyFill="1" applyBorder="1"/>
    <xf numFmtId="0" fontId="6" fillId="4" borderId="4"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165" fontId="0" fillId="4" borderId="4" xfId="3" applyNumberFormat="1" applyFont="1" applyFill="1" applyBorder="1"/>
    <xf numFmtId="0" fontId="3" fillId="4" borderId="4"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3" fillId="4" borderId="4" xfId="0" applyFont="1" applyFill="1" applyBorder="1" applyAlignment="1">
      <alignment vertical="center" wrapText="1"/>
    </xf>
    <xf numFmtId="0" fontId="6" fillId="4" borderId="2" xfId="0" applyFont="1" applyFill="1" applyBorder="1" applyAlignment="1">
      <alignment horizontal="justify" vertical="center" wrapText="1"/>
    </xf>
    <xf numFmtId="0" fontId="6" fillId="4" borderId="2" xfId="0" applyFont="1" applyFill="1" applyBorder="1" applyAlignment="1">
      <alignment horizontal="center" vertical="center" wrapText="1"/>
    </xf>
    <xf numFmtId="165" fontId="0" fillId="4" borderId="17" xfId="3" applyNumberFormat="1" applyFont="1" applyFill="1" applyBorder="1"/>
    <xf numFmtId="165" fontId="0" fillId="4" borderId="2" xfId="3" applyNumberFormat="1" applyFont="1" applyFill="1" applyBorder="1"/>
    <xf numFmtId="0" fontId="0" fillId="0" borderId="0" xfId="0" applyFont="1" applyFill="1"/>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165" fontId="0" fillId="4" borderId="31" xfId="3" applyNumberFormat="1" applyFont="1" applyFill="1" applyBorder="1"/>
    <xf numFmtId="165" fontId="0" fillId="4" borderId="3" xfId="3" applyNumberFormat="1" applyFont="1" applyFill="1" applyBorder="1"/>
    <xf numFmtId="165" fontId="0" fillId="4" borderId="15" xfId="3" applyNumberFormat="1" applyFont="1" applyFill="1" applyBorder="1"/>
    <xf numFmtId="0" fontId="11" fillId="2" borderId="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165" fontId="0" fillId="4" borderId="7" xfId="3" applyNumberFormat="1" applyFont="1" applyFill="1" applyBorder="1"/>
    <xf numFmtId="165" fontId="0" fillId="4" borderId="6" xfId="3" applyNumberFormat="1" applyFont="1" applyFill="1" applyBorder="1"/>
    <xf numFmtId="165" fontId="0" fillId="4" borderId="8" xfId="3" applyNumberFormat="1" applyFont="1" applyFill="1" applyBorder="1"/>
    <xf numFmtId="165" fontId="0" fillId="2" borderId="5" xfId="3" applyNumberFormat="1" applyFont="1" applyFill="1" applyBorder="1"/>
    <xf numFmtId="165" fontId="0" fillId="2" borderId="6" xfId="3" applyNumberFormat="1" applyFont="1" applyFill="1" applyBorder="1"/>
    <xf numFmtId="165" fontId="0" fillId="2" borderId="8" xfId="3" applyNumberFormat="1" applyFont="1" applyFill="1" applyBorder="1"/>
    <xf numFmtId="165" fontId="0" fillId="2" borderId="7" xfId="3" applyNumberFormat="1" applyFont="1" applyFill="1" applyBorder="1"/>
    <xf numFmtId="165" fontId="0" fillId="4" borderId="21" xfId="3" applyNumberFormat="1" applyFont="1" applyFill="1" applyBorder="1"/>
    <xf numFmtId="165" fontId="0" fillId="4" borderId="25" xfId="3" applyNumberFormat="1" applyFont="1" applyFill="1" applyBorder="1"/>
    <xf numFmtId="165" fontId="0" fillId="4" borderId="22" xfId="3" applyNumberFormat="1" applyFont="1" applyFill="1" applyBorder="1"/>
    <xf numFmtId="165" fontId="0" fillId="4" borderId="11" xfId="3" applyNumberFormat="1" applyFont="1" applyFill="1" applyBorder="1"/>
    <xf numFmtId="165" fontId="0" fillId="4" borderId="24" xfId="3" applyNumberFormat="1" applyFont="1" applyFill="1" applyBorder="1"/>
    <xf numFmtId="165" fontId="0" fillId="4" borderId="27" xfId="3" applyNumberFormat="1" applyFont="1" applyFill="1" applyBorder="1"/>
    <xf numFmtId="165" fontId="0" fillId="2" borderId="24" xfId="3" applyNumberFormat="1" applyFont="1" applyFill="1" applyBorder="1"/>
    <xf numFmtId="165" fontId="0" fillId="2" borderId="25" xfId="3" applyNumberFormat="1" applyFont="1" applyFill="1" applyBorder="1"/>
    <xf numFmtId="165" fontId="0" fillId="2" borderId="27" xfId="3" applyNumberFormat="1" applyFont="1" applyFill="1" applyBorder="1"/>
    <xf numFmtId="165" fontId="0" fillId="2" borderId="0" xfId="3" applyNumberFormat="1" applyFont="1" applyFill="1" applyBorder="1"/>
    <xf numFmtId="165" fontId="0" fillId="2" borderId="11" xfId="3" applyNumberFormat="1" applyFont="1" applyFill="1" applyBorder="1"/>
    <xf numFmtId="0" fontId="0"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5" fontId="0" fillId="4" borderId="35" xfId="3" applyNumberFormat="1" applyFont="1" applyFill="1" applyBorder="1"/>
    <xf numFmtId="165" fontId="0" fillId="4" borderId="26" xfId="3" applyNumberFormat="1" applyFont="1" applyFill="1" applyBorder="1"/>
    <xf numFmtId="165" fontId="0" fillId="2" borderId="35" xfId="3" applyNumberFormat="1" applyFont="1" applyFill="1" applyBorder="1"/>
    <xf numFmtId="165" fontId="15" fillId="4" borderId="9" xfId="3" applyNumberFormat="1" applyFont="1" applyFill="1" applyBorder="1"/>
    <xf numFmtId="165" fontId="0" fillId="2" borderId="0" xfId="0" applyNumberFormat="1" applyFont="1" applyFill="1"/>
    <xf numFmtId="165" fontId="15" fillId="4" borderId="28" xfId="3" applyNumberFormat="1" applyFont="1" applyFill="1" applyBorder="1"/>
    <xf numFmtId="165" fontId="0" fillId="2" borderId="38" xfId="0" applyNumberFormat="1" applyFont="1" applyFill="1" applyBorder="1"/>
    <xf numFmtId="165" fontId="0" fillId="2" borderId="39" xfId="0" applyNumberFormat="1" applyFont="1" applyFill="1" applyBorder="1"/>
    <xf numFmtId="165" fontId="0" fillId="2" borderId="37" xfId="0" applyNumberFormat="1" applyFont="1" applyFill="1" applyBorder="1"/>
    <xf numFmtId="165" fontId="0" fillId="4" borderId="37" xfId="0" applyNumberFormat="1" applyFont="1" applyFill="1" applyBorder="1"/>
    <xf numFmtId="165" fontId="0" fillId="4" borderId="38" xfId="0" applyNumberFormat="1" applyFont="1" applyFill="1" applyBorder="1"/>
    <xf numFmtId="165" fontId="0" fillId="4" borderId="39" xfId="0" applyNumberFormat="1" applyFont="1" applyFill="1" applyBorder="1"/>
    <xf numFmtId="165" fontId="0" fillId="2" borderId="14" xfId="0" applyNumberFormat="1" applyFont="1" applyFill="1" applyBorder="1"/>
    <xf numFmtId="165" fontId="0" fillId="2" borderId="9" xfId="0" applyNumberFormat="1" applyFont="1" applyFill="1" applyBorder="1"/>
    <xf numFmtId="165" fontId="11" fillId="9" borderId="9" xfId="0" applyNumberFormat="1" applyFont="1" applyFill="1" applyBorder="1"/>
    <xf numFmtId="166" fontId="0" fillId="2" borderId="0" xfId="4" applyNumberFormat="1" applyFont="1" applyFill="1" applyAlignment="1">
      <alignment wrapText="1"/>
    </xf>
    <xf numFmtId="166" fontId="0" fillId="2" borderId="0" xfId="4" applyNumberFormat="1" applyFont="1" applyFill="1"/>
    <xf numFmtId="44" fontId="0" fillId="2" borderId="0" xfId="3" applyFont="1" applyFill="1"/>
    <xf numFmtId="9" fontId="0" fillId="2" borderId="0" xfId="5" applyFont="1" applyFill="1"/>
    <xf numFmtId="9" fontId="0" fillId="2" borderId="0" xfId="5" applyNumberFormat="1" applyFont="1" applyFill="1"/>
    <xf numFmtId="0" fontId="2" fillId="2" borderId="4" xfId="0" applyFont="1" applyFill="1" applyBorder="1" applyAlignment="1">
      <alignment horizontal="left" vertical="center" wrapText="1"/>
    </xf>
    <xf numFmtId="0" fontId="3" fillId="2" borderId="4" xfId="0" applyFont="1" applyFill="1" applyBorder="1" applyAlignment="1">
      <alignment vertical="center" wrapText="1"/>
    </xf>
    <xf numFmtId="165" fontId="0" fillId="2" borderId="20" xfId="3" applyNumberFormat="1" applyFont="1" applyFill="1" applyBorder="1"/>
    <xf numFmtId="2" fontId="0" fillId="4" borderId="1" xfId="0" applyNumberFormat="1" applyFill="1" applyBorder="1" applyAlignment="1">
      <alignment horizontal="justify" vertical="center" wrapText="1"/>
    </xf>
    <xf numFmtId="2" fontId="0" fillId="4" borderId="4" xfId="0" applyNumberFormat="1" applyFill="1" applyBorder="1" applyAlignment="1">
      <alignment horizontal="left" vertical="center" wrapText="1"/>
    </xf>
    <xf numFmtId="0" fontId="5" fillId="4" borderId="4" xfId="0" applyFont="1" applyFill="1" applyBorder="1" applyAlignment="1">
      <alignment horizontal="justify" vertical="center" wrapText="1"/>
    </xf>
    <xf numFmtId="0" fontId="0" fillId="4" borderId="4" xfId="0" applyFont="1" applyFill="1" applyBorder="1" applyAlignment="1">
      <alignment horizontal="center" vertical="center"/>
    </xf>
    <xf numFmtId="2" fontId="0" fillId="4" borderId="4" xfId="0" applyNumberFormat="1" applyFill="1" applyBorder="1" applyAlignment="1">
      <alignment horizontal="justify" vertical="center" wrapText="1"/>
    </xf>
    <xf numFmtId="2" fontId="0" fillId="4" borderId="2" xfId="0" applyNumberFormat="1" applyFill="1" applyBorder="1" applyAlignment="1">
      <alignment horizontal="justify" vertical="center" wrapText="1"/>
    </xf>
    <xf numFmtId="0" fontId="3" fillId="4" borderId="2" xfId="0" applyFont="1" applyFill="1" applyBorder="1" applyAlignment="1">
      <alignment horizontal="center" vertical="center" wrapText="1"/>
    </xf>
    <xf numFmtId="165" fontId="0" fillId="2" borderId="41" xfId="3" applyNumberFormat="1" applyFont="1" applyFill="1" applyBorder="1"/>
    <xf numFmtId="0" fontId="3" fillId="4" borderId="1" xfId="0" applyFont="1" applyFill="1" applyBorder="1" applyAlignment="1">
      <alignment horizontal="justify" vertical="center" wrapText="1"/>
    </xf>
    <xf numFmtId="0" fontId="6" fillId="4" borderId="25" xfId="0" applyFont="1" applyFill="1" applyBorder="1" applyAlignment="1">
      <alignment horizontal="center" vertical="center" wrapText="1"/>
    </xf>
    <xf numFmtId="165" fontId="0" fillId="4" borderId="20" xfId="3" applyNumberFormat="1" applyFont="1" applyFill="1" applyBorder="1"/>
    <xf numFmtId="0" fontId="6" fillId="2" borderId="17" xfId="0" applyFont="1" applyFill="1" applyBorder="1" applyAlignment="1">
      <alignment horizontal="justify" vertical="center" wrapText="1"/>
    </xf>
    <xf numFmtId="0" fontId="6"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165" fontId="0" fillId="2" borderId="17" xfId="3" applyNumberFormat="1" applyFont="1" applyFill="1" applyBorder="1"/>
    <xf numFmtId="165" fontId="0" fillId="2" borderId="34" xfId="3" applyNumberFormat="1" applyFont="1" applyFill="1" applyBorder="1"/>
    <xf numFmtId="165" fontId="0" fillId="2" borderId="26" xfId="3" applyNumberFormat="1" applyFont="1" applyFill="1" applyBorder="1"/>
    <xf numFmtId="165" fontId="0" fillId="2" borderId="43" xfId="0" applyNumberFormat="1" applyFont="1" applyFill="1" applyBorder="1"/>
    <xf numFmtId="165" fontId="0" fillId="2" borderId="42" xfId="3" applyNumberFormat="1" applyFont="1" applyFill="1" applyBorder="1"/>
    <xf numFmtId="165" fontId="0" fillId="2" borderId="4" xfId="3" applyNumberFormat="1" applyFont="1" applyFill="1" applyBorder="1" applyAlignment="1">
      <alignment horizontal="center" vertical="center"/>
    </xf>
    <xf numFmtId="165" fontId="0" fillId="2" borderId="33" xfId="3" applyNumberFormat="1" applyFont="1" applyFill="1" applyBorder="1"/>
    <xf numFmtId="165" fontId="0" fillId="2" borderId="3" xfId="3" applyNumberFormat="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0" xfId="0" applyFont="1" applyFill="1" applyBorder="1" applyAlignment="1">
      <alignment horizontal="center" vertical="center" wrapText="1"/>
    </xf>
    <xf numFmtId="165" fontId="8" fillId="2" borderId="0" xfId="0" applyNumberFormat="1" applyFont="1" applyFill="1" applyBorder="1" applyAlignment="1">
      <alignment horizontal="center"/>
    </xf>
    <xf numFmtId="0" fontId="17" fillId="10" borderId="28" xfId="0" applyFont="1" applyFill="1" applyBorder="1" applyAlignment="1">
      <alignment horizontal="center" vertical="center" wrapText="1"/>
    </xf>
    <xf numFmtId="2" fontId="12" fillId="6" borderId="16"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1" xfId="0" applyFont="1" applyFill="1" applyBorder="1" applyAlignment="1">
      <alignment horizontal="center" vertical="center" wrapText="1"/>
    </xf>
    <xf numFmtId="2" fontId="12" fillId="7" borderId="10" xfId="0" applyNumberFormat="1" applyFont="1" applyFill="1" applyBorder="1" applyAlignment="1">
      <alignment horizontal="center" vertical="center" wrapText="1"/>
    </xf>
    <xf numFmtId="2" fontId="12" fillId="7" borderId="41" xfId="0" applyNumberFormat="1" applyFont="1" applyFill="1" applyBorder="1" applyAlignment="1">
      <alignment horizontal="center" vertical="center" wrapText="1"/>
    </xf>
    <xf numFmtId="2" fontId="12" fillId="6" borderId="10" xfId="0" applyNumberFormat="1" applyFont="1" applyFill="1" applyBorder="1" applyAlignment="1">
      <alignment horizontal="center" vertical="center" wrapText="1"/>
    </xf>
    <xf numFmtId="2" fontId="12" fillId="6" borderId="41" xfId="0" applyNumberFormat="1" applyFont="1" applyFill="1" applyBorder="1" applyAlignment="1">
      <alignment horizontal="center" vertical="center" wrapText="1"/>
    </xf>
    <xf numFmtId="2" fontId="12" fillId="5" borderId="10" xfId="0" applyNumberFormat="1" applyFont="1" applyFill="1" applyBorder="1" applyAlignment="1">
      <alignment horizontal="center" vertical="center" wrapText="1"/>
    </xf>
    <xf numFmtId="2" fontId="12" fillId="5" borderId="41" xfId="0" applyNumberFormat="1" applyFont="1" applyFill="1" applyBorder="1" applyAlignment="1">
      <alignment horizontal="center" vertical="center" wrapText="1"/>
    </xf>
    <xf numFmtId="0" fontId="12" fillId="8" borderId="13" xfId="0" applyFont="1" applyFill="1" applyBorder="1" applyAlignment="1">
      <alignment horizontal="center" vertical="center" wrapText="1"/>
    </xf>
    <xf numFmtId="166" fontId="12" fillId="8" borderId="13" xfId="4" applyNumberFormat="1" applyFont="1" applyFill="1" applyBorder="1" applyAlignment="1">
      <alignment horizontal="center" vertical="center" wrapText="1"/>
    </xf>
    <xf numFmtId="0" fontId="19" fillId="0" borderId="0" xfId="0" applyFont="1"/>
    <xf numFmtId="0" fontId="20" fillId="11" borderId="4" xfId="0" applyFont="1" applyFill="1" applyBorder="1" applyAlignment="1">
      <alignment horizontal="left" vertical="center"/>
    </xf>
    <xf numFmtId="0" fontId="18" fillId="11" borderId="4" xfId="0" applyFont="1" applyFill="1" applyBorder="1" applyAlignment="1">
      <alignment horizontal="left" vertical="center"/>
    </xf>
    <xf numFmtId="0" fontId="18" fillId="11" borderId="4" xfId="0" applyFont="1" applyFill="1" applyBorder="1" applyAlignment="1">
      <alignment horizontal="center" vertical="center" wrapText="1"/>
    </xf>
    <xf numFmtId="0" fontId="18" fillId="11" borderId="4" xfId="0" applyFont="1" applyFill="1" applyBorder="1" applyAlignment="1">
      <alignment horizontal="right" vertical="center" wrapText="1"/>
    </xf>
    <xf numFmtId="0" fontId="21" fillId="11" borderId="4" xfId="0" applyFont="1" applyFill="1" applyBorder="1" applyAlignment="1">
      <alignment horizontal="left" wrapText="1"/>
    </xf>
    <xf numFmtId="0" fontId="21" fillId="11" borderId="4" xfId="0" applyFont="1" applyFill="1" applyBorder="1" applyAlignment="1">
      <alignment horizontal="right" wrapText="1"/>
    </xf>
    <xf numFmtId="0" fontId="19" fillId="11" borderId="4" xfId="0" applyFont="1" applyFill="1" applyBorder="1" applyAlignment="1">
      <alignment horizontal="left" wrapText="1"/>
    </xf>
    <xf numFmtId="0" fontId="21" fillId="11" borderId="4" xfId="0" applyFont="1" applyFill="1" applyBorder="1" applyAlignment="1">
      <alignment wrapText="1"/>
    </xf>
    <xf numFmtId="0" fontId="19" fillId="0" borderId="4" xfId="0" applyFont="1" applyBorder="1" applyAlignment="1">
      <alignment horizontal="right" vertical="top"/>
    </xf>
    <xf numFmtId="0" fontId="19" fillId="0" borderId="4" xfId="0" applyFont="1"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vertical="top" wrapText="1"/>
    </xf>
    <xf numFmtId="0" fontId="19" fillId="0" borderId="4" xfId="0" applyFont="1" applyBorder="1" applyAlignment="1">
      <alignment horizontal="right" vertical="top" indent="2"/>
    </xf>
    <xf numFmtId="0" fontId="19" fillId="0" borderId="4" xfId="0" applyFont="1" applyBorder="1" applyAlignment="1">
      <alignment horizontal="left"/>
    </xf>
    <xf numFmtId="0" fontId="19" fillId="2" borderId="4" xfId="0" applyFont="1" applyFill="1" applyBorder="1" applyAlignment="1">
      <alignment horizontal="right" vertical="top"/>
    </xf>
    <xf numFmtId="0" fontId="19" fillId="0" borderId="44" xfId="0" applyFont="1" applyBorder="1" applyAlignment="1">
      <alignment horizontal="left" vertical="center"/>
    </xf>
    <xf numFmtId="0" fontId="19" fillId="0" borderId="4" xfId="0" applyFont="1" applyBorder="1" applyAlignment="1">
      <alignment horizontal="left" vertical="center"/>
    </xf>
    <xf numFmtId="0" fontId="19" fillId="0" borderId="25" xfId="0" applyFont="1" applyBorder="1" applyAlignment="1">
      <alignment horizontal="justify" vertical="center" wrapText="1"/>
    </xf>
    <xf numFmtId="0" fontId="19" fillId="0" borderId="4" xfId="0" applyFont="1" applyBorder="1" applyAlignment="1">
      <alignment horizontal="left" vertical="center" wrapText="1"/>
    </xf>
    <xf numFmtId="0" fontId="19" fillId="0" borderId="17" xfId="0" applyFont="1" applyBorder="1" applyAlignment="1">
      <alignment horizontal="left" vertical="center" wrapText="1"/>
    </xf>
    <xf numFmtId="0" fontId="19" fillId="0" borderId="4" xfId="0" applyFont="1" applyBorder="1" applyAlignment="1">
      <alignment horizontal="right"/>
    </xf>
    <xf numFmtId="0" fontId="19" fillId="0" borderId="4" xfId="0" applyFont="1" applyFill="1" applyBorder="1" applyAlignment="1">
      <alignment horizontal="left" vertical="center"/>
    </xf>
    <xf numFmtId="166" fontId="19" fillId="0" borderId="4" xfId="4" applyNumberFormat="1" applyFont="1" applyBorder="1" applyAlignment="1">
      <alignment horizontal="left"/>
    </xf>
    <xf numFmtId="0" fontId="19" fillId="2" borderId="4" xfId="0" applyFont="1" applyFill="1" applyBorder="1" applyAlignment="1">
      <alignment horizontal="left" vertical="center" wrapText="1"/>
    </xf>
    <xf numFmtId="0" fontId="19" fillId="0" borderId="4" xfId="0" applyFont="1" applyBorder="1" applyAlignment="1">
      <alignment wrapText="1"/>
    </xf>
    <xf numFmtId="0" fontId="19" fillId="0" borderId="4" xfId="0" applyFont="1" applyFill="1" applyBorder="1" applyAlignment="1">
      <alignment wrapText="1"/>
    </xf>
    <xf numFmtId="0" fontId="22" fillId="0" borderId="4" xfId="0" applyFont="1" applyBorder="1" applyAlignment="1">
      <alignment wrapText="1"/>
    </xf>
    <xf numFmtId="0" fontId="18" fillId="11" borderId="4" xfId="0" applyFont="1" applyFill="1" applyBorder="1" applyAlignment="1">
      <alignment horizontal="left" wrapText="1"/>
    </xf>
    <xf numFmtId="0" fontId="19" fillId="0" borderId="4" xfId="0" applyFont="1" applyFill="1" applyBorder="1" applyAlignment="1">
      <alignment horizontal="left" vertical="top"/>
    </xf>
    <xf numFmtId="0" fontId="21" fillId="11" borderId="4" xfId="0" applyFont="1" applyFill="1" applyBorder="1" applyAlignment="1">
      <alignment horizontal="right" vertical="center" wrapText="1"/>
    </xf>
    <xf numFmtId="0" fontId="21" fillId="11" borderId="4" xfId="0" applyFont="1" applyFill="1" applyBorder="1" applyAlignment="1">
      <alignment horizontal="left" vertical="center" wrapText="1"/>
    </xf>
    <xf numFmtId="0" fontId="19" fillId="11" borderId="4" xfId="0" applyFont="1" applyFill="1" applyBorder="1" applyAlignment="1">
      <alignment horizontal="left" vertical="center" wrapText="1"/>
    </xf>
    <xf numFmtId="0" fontId="21" fillId="11" borderId="4" xfId="0" applyFont="1" applyFill="1" applyBorder="1" applyAlignment="1">
      <alignment vertical="center" wrapText="1"/>
    </xf>
    <xf numFmtId="0" fontId="19" fillId="0" borderId="0" xfId="0" applyFont="1" applyAlignment="1">
      <alignment vertical="top"/>
    </xf>
    <xf numFmtId="0" fontId="19" fillId="0" borderId="0" xfId="0" applyFont="1" applyAlignment="1">
      <alignment horizontal="right"/>
    </xf>
    <xf numFmtId="0" fontId="19" fillId="0" borderId="0" xfId="0" applyFont="1" applyAlignment="1">
      <alignment horizontal="left" vertical="center" wrapText="1"/>
    </xf>
    <xf numFmtId="0" fontId="19" fillId="0" borderId="0" xfId="0" applyFont="1" applyAlignment="1">
      <alignment horizontal="left"/>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xf numFmtId="165" fontId="19" fillId="0" borderId="0" xfId="3" applyNumberFormat="1" applyFont="1" applyAlignment="1">
      <alignment horizontal="center" vertical="center"/>
    </xf>
    <xf numFmtId="165" fontId="18" fillId="11" borderId="4" xfId="3" applyNumberFormat="1" applyFont="1" applyFill="1" applyBorder="1" applyAlignment="1">
      <alignment horizontal="center" vertical="center" wrapText="1"/>
    </xf>
    <xf numFmtId="165" fontId="21" fillId="11" borderId="4" xfId="3" applyNumberFormat="1" applyFont="1" applyFill="1" applyBorder="1" applyAlignment="1">
      <alignment horizontal="center" vertical="center" wrapText="1"/>
    </xf>
    <xf numFmtId="165" fontId="19" fillId="0" borderId="4" xfId="3" applyNumberFormat="1" applyFont="1" applyBorder="1" applyAlignment="1">
      <alignment horizontal="center" vertical="center"/>
    </xf>
    <xf numFmtId="165" fontId="19" fillId="0" borderId="17" xfId="3" applyNumberFormat="1" applyFont="1" applyBorder="1" applyAlignment="1">
      <alignment horizontal="center" vertical="center"/>
    </xf>
    <xf numFmtId="165" fontId="19" fillId="2" borderId="1" xfId="3" applyNumberFormat="1" applyFont="1" applyFill="1" applyBorder="1" applyAlignment="1">
      <alignment horizontal="center" vertical="center"/>
    </xf>
    <xf numFmtId="165" fontId="19" fillId="2" borderId="4" xfId="3" applyNumberFormat="1" applyFont="1" applyFill="1" applyBorder="1" applyAlignment="1">
      <alignment horizontal="center" vertical="center"/>
    </xf>
    <xf numFmtId="0" fontId="18" fillId="11" borderId="4" xfId="0" applyFont="1" applyFill="1" applyBorder="1" applyAlignment="1">
      <alignment horizontal="center" vertical="center" wrapText="1"/>
    </xf>
    <xf numFmtId="0" fontId="20" fillId="0" borderId="0" xfId="0" applyFont="1" applyAlignment="1">
      <alignment vertical="center"/>
    </xf>
    <xf numFmtId="0" fontId="19" fillId="0" borderId="0" xfId="0" applyFont="1" applyAlignment="1">
      <alignment horizontal="center" vertical="center"/>
    </xf>
    <xf numFmtId="166" fontId="19" fillId="0" borderId="0" xfId="4" applyNumberFormat="1" applyFont="1"/>
    <xf numFmtId="0" fontId="19" fillId="0" borderId="0" xfId="0" applyFont="1" applyAlignment="1">
      <alignment vertical="center" wrapText="1"/>
    </xf>
    <xf numFmtId="0" fontId="18" fillId="11" borderId="4" xfId="0" applyFont="1" applyFill="1" applyBorder="1" applyAlignment="1">
      <alignment horizontal="center" vertical="center"/>
    </xf>
    <xf numFmtId="167" fontId="18" fillId="11" borderId="4" xfId="0" applyNumberFormat="1" applyFont="1" applyFill="1" applyBorder="1" applyAlignment="1">
      <alignment horizontal="center" vertical="center" wrapText="1"/>
    </xf>
    <xf numFmtId="166" fontId="18" fillId="11" borderId="4" xfId="4" applyNumberFormat="1" applyFont="1" applyFill="1" applyBorder="1" applyAlignment="1">
      <alignment horizontal="center" vertical="center" wrapText="1"/>
    </xf>
    <xf numFmtId="0" fontId="21" fillId="11" borderId="4" xfId="0" applyFont="1" applyFill="1" applyBorder="1" applyAlignment="1">
      <alignment vertical="center"/>
    </xf>
    <xf numFmtId="0" fontId="20" fillId="11" borderId="4" xfId="0" applyFont="1" applyFill="1" applyBorder="1" applyAlignment="1">
      <alignment horizontal="center" vertical="center"/>
    </xf>
    <xf numFmtId="0" fontId="19" fillId="11" borderId="4" xfId="0" applyFont="1" applyFill="1" applyBorder="1" applyAlignment="1">
      <alignment horizontal="center" vertical="center" wrapText="1"/>
    </xf>
    <xf numFmtId="0" fontId="21" fillId="11" borderId="4" xfId="0" applyFont="1" applyFill="1" applyBorder="1" applyAlignment="1">
      <alignment horizontal="center" vertical="center" wrapText="1"/>
    </xf>
    <xf numFmtId="166" fontId="21" fillId="11" borderId="4" xfId="4" applyNumberFormat="1" applyFont="1" applyFill="1" applyBorder="1" applyAlignment="1">
      <alignment wrapText="1"/>
    </xf>
    <xf numFmtId="0" fontId="19" fillId="0" borderId="4" xfId="0" applyFont="1" applyBorder="1" applyAlignment="1">
      <alignment vertical="center"/>
    </xf>
    <xf numFmtId="0" fontId="19" fillId="0" borderId="4" xfId="0" applyFont="1" applyBorder="1" applyAlignment="1">
      <alignment horizontal="center" vertical="center"/>
    </xf>
    <xf numFmtId="3" fontId="19" fillId="0" borderId="4" xfId="0" applyNumberFormat="1" applyFont="1" applyBorder="1" applyAlignment="1">
      <alignment horizontal="center" vertical="center"/>
    </xf>
    <xf numFmtId="0" fontId="19" fillId="0" borderId="4" xfId="0" applyFont="1" applyBorder="1" applyAlignment="1">
      <alignment vertical="center" wrapText="1"/>
    </xf>
    <xf numFmtId="0" fontId="19" fillId="0" borderId="4" xfId="0" applyFont="1" applyBorder="1" applyAlignment="1">
      <alignment horizontal="center" vertical="center" wrapText="1"/>
    </xf>
    <xf numFmtId="0" fontId="19" fillId="0" borderId="44" xfId="0" applyFont="1" applyBorder="1" applyAlignment="1">
      <alignment horizontal="center" vertical="center"/>
    </xf>
    <xf numFmtId="0" fontId="19" fillId="0" borderId="17" xfId="0" applyFont="1" applyBorder="1" applyAlignment="1">
      <alignment vertical="center"/>
    </xf>
    <xf numFmtId="166" fontId="21" fillId="11" borderId="4" xfId="4" applyNumberFormat="1" applyFont="1" applyFill="1" applyBorder="1" applyAlignment="1">
      <alignment vertical="center" wrapText="1"/>
    </xf>
    <xf numFmtId="0" fontId="19" fillId="0" borderId="4" xfId="0" applyFont="1" applyFill="1" applyBorder="1" applyAlignment="1">
      <alignment horizontal="center" vertical="center"/>
    </xf>
    <xf numFmtId="166" fontId="19" fillId="0" borderId="4" xfId="4" applyNumberFormat="1" applyFont="1" applyBorder="1" applyAlignment="1">
      <alignment horizontal="center" vertical="center"/>
    </xf>
    <xf numFmtId="0" fontId="19" fillId="2" borderId="4" xfId="0" applyFont="1" applyFill="1" applyBorder="1" applyAlignment="1">
      <alignment vertical="center"/>
    </xf>
    <xf numFmtId="166" fontId="19" fillId="0" borderId="4" xfId="4" applyNumberFormat="1" applyFont="1" applyBorder="1"/>
    <xf numFmtId="0" fontId="19" fillId="11" borderId="4" xfId="0" applyFont="1" applyFill="1" applyBorder="1" applyAlignment="1">
      <alignment vertical="center" wrapText="1"/>
    </xf>
    <xf numFmtId="0" fontId="18" fillId="11" borderId="4" xfId="0" applyFont="1" applyFill="1" applyBorder="1" applyAlignment="1">
      <alignment vertical="center"/>
    </xf>
    <xf numFmtId="0" fontId="19" fillId="0" borderId="0" xfId="0" applyFont="1" applyAlignment="1">
      <alignment vertical="center"/>
    </xf>
    <xf numFmtId="0" fontId="18" fillId="0" borderId="0" xfId="0" applyFont="1" applyAlignment="1">
      <alignment horizontal="left" vertical="center" wrapText="1"/>
    </xf>
    <xf numFmtId="0" fontId="18" fillId="0" borderId="0" xfId="0" applyFont="1"/>
    <xf numFmtId="166" fontId="19" fillId="0" borderId="0" xfId="4" applyNumberFormat="1" applyFont="1" applyAlignment="1">
      <alignment vertical="top"/>
    </xf>
    <xf numFmtId="166" fontId="18" fillId="11" borderId="4" xfId="4" applyNumberFormat="1" applyFont="1" applyFill="1" applyBorder="1" applyAlignment="1">
      <alignment horizontal="center" vertical="top" wrapText="1"/>
    </xf>
    <xf numFmtId="166" fontId="19" fillId="0" borderId="4" xfId="4" applyNumberFormat="1" applyFont="1" applyBorder="1" applyAlignment="1">
      <alignment vertical="top"/>
    </xf>
    <xf numFmtId="166" fontId="18" fillId="11" borderId="4" xfId="4" applyNumberFormat="1" applyFont="1" applyFill="1" applyBorder="1" applyAlignment="1">
      <alignment horizontal="center" vertical="top"/>
    </xf>
    <xf numFmtId="166" fontId="23" fillId="11" borderId="4" xfId="4" applyNumberFormat="1" applyFont="1" applyFill="1" applyBorder="1" applyAlignment="1">
      <alignment horizontal="center" vertical="top" wrapText="1"/>
    </xf>
    <xf numFmtId="0" fontId="18" fillId="11" borderId="4" xfId="0" applyFont="1" applyFill="1" applyBorder="1" applyAlignment="1">
      <alignment horizontal="center" vertical="center" wrapText="1"/>
    </xf>
    <xf numFmtId="3" fontId="19" fillId="12" borderId="4" xfId="0" applyNumberFormat="1" applyFont="1" applyFill="1" applyBorder="1" applyAlignment="1">
      <alignment horizontal="center" vertical="center"/>
    </xf>
    <xf numFmtId="0" fontId="19" fillId="12" borderId="4" xfId="0" applyFont="1" applyFill="1" applyBorder="1" applyAlignment="1">
      <alignment vertical="center" wrapText="1"/>
    </xf>
    <xf numFmtId="166" fontId="19" fillId="0" borderId="4" xfId="4" applyNumberFormat="1" applyFont="1" applyBorder="1" applyAlignment="1">
      <alignment vertical="center"/>
    </xf>
    <xf numFmtId="166" fontId="19" fillId="2" borderId="1" xfId="4" applyNumberFormat="1" applyFont="1" applyFill="1" applyBorder="1" applyAlignment="1">
      <alignment vertical="center"/>
    </xf>
    <xf numFmtId="168" fontId="19" fillId="2" borderId="25" xfId="0" applyNumberFormat="1" applyFont="1" applyFill="1" applyBorder="1" applyAlignment="1">
      <alignment vertical="center"/>
    </xf>
    <xf numFmtId="166" fontId="19" fillId="2" borderId="4" xfId="4" applyNumberFormat="1" applyFont="1" applyFill="1" applyBorder="1" applyAlignment="1">
      <alignment vertical="center"/>
    </xf>
    <xf numFmtId="0" fontId="19" fillId="0" borderId="4" xfId="0" applyFont="1" applyBorder="1"/>
    <xf numFmtId="166" fontId="19" fillId="0" borderId="4" xfId="4" applyNumberFormat="1" applyFont="1" applyBorder="1" applyAlignment="1">
      <alignment horizontal="center"/>
    </xf>
    <xf numFmtId="0" fontId="19" fillId="0" borderId="4" xfId="0" applyFont="1" applyBorder="1" applyAlignment="1">
      <alignment horizontal="center"/>
    </xf>
    <xf numFmtId="0" fontId="19" fillId="0" borderId="4" xfId="0" applyFont="1" applyBorder="1" applyAlignment="1">
      <alignment horizontal="center" vertical="top"/>
    </xf>
    <xf numFmtId="0" fontId="19" fillId="0" borderId="4" xfId="0" applyFont="1" applyFill="1" applyBorder="1" applyAlignment="1">
      <alignment horizontal="center" vertical="top"/>
    </xf>
    <xf numFmtId="0" fontId="20" fillId="0" borderId="47" xfId="0" applyFont="1" applyBorder="1" applyAlignment="1">
      <alignment horizontal="center"/>
    </xf>
    <xf numFmtId="0" fontId="19" fillId="0" borderId="0" xfId="0" applyFont="1" applyAlignment="1">
      <alignment horizontal="center"/>
    </xf>
    <xf numFmtId="3" fontId="19" fillId="0" borderId="4" xfId="0" applyNumberFormat="1" applyFont="1" applyBorder="1" applyAlignment="1">
      <alignment vertical="center"/>
    </xf>
    <xf numFmtId="169" fontId="19" fillId="0" borderId="4" xfId="0" applyNumberFormat="1" applyFont="1" applyBorder="1" applyAlignment="1">
      <alignment vertical="center"/>
    </xf>
    <xf numFmtId="166" fontId="19" fillId="2" borderId="1" xfId="4" applyNumberFormat="1" applyFont="1" applyFill="1" applyBorder="1"/>
    <xf numFmtId="0" fontId="20" fillId="0" borderId="4" xfId="0" applyFont="1" applyBorder="1" applyAlignment="1">
      <alignment horizontal="left" vertical="top" wrapText="1"/>
    </xf>
    <xf numFmtId="3" fontId="19" fillId="2" borderId="4" xfId="0" applyNumberFormat="1" applyFont="1" applyFill="1" applyBorder="1" applyAlignment="1">
      <alignment vertical="center"/>
    </xf>
    <xf numFmtId="3" fontId="19" fillId="0" borderId="4" xfId="0" applyNumberFormat="1" applyFont="1" applyBorder="1" applyAlignment="1">
      <alignment horizontal="right" vertical="center"/>
    </xf>
    <xf numFmtId="3" fontId="19" fillId="0" borderId="4" xfId="0" applyNumberFormat="1" applyFont="1" applyBorder="1"/>
    <xf numFmtId="3" fontId="19" fillId="0" borderId="4" xfId="0" applyNumberFormat="1" applyFont="1" applyFill="1" applyBorder="1"/>
    <xf numFmtId="166" fontId="19" fillId="0" borderId="4" xfId="4" applyNumberFormat="1" applyFont="1" applyFill="1" applyBorder="1"/>
    <xf numFmtId="0" fontId="19" fillId="0" borderId="0" xfId="0" applyFont="1" applyFill="1"/>
    <xf numFmtId="169" fontId="19" fillId="0" borderId="4" xfId="0" applyNumberFormat="1" applyFont="1" applyBorder="1" applyAlignment="1">
      <alignment horizontal="right" vertical="center"/>
    </xf>
    <xf numFmtId="0" fontId="19" fillId="2" borderId="0" xfId="0" applyFont="1" applyFill="1" applyAlignment="1">
      <alignment horizontal="right"/>
    </xf>
    <xf numFmtId="0" fontId="19" fillId="2" borderId="0" xfId="0" applyFont="1" applyFill="1" applyAlignment="1">
      <alignment horizontal="left" vertical="center" wrapText="1"/>
    </xf>
    <xf numFmtId="0" fontId="19" fillId="2" borderId="0" xfId="0" applyFont="1" applyFill="1" applyAlignment="1">
      <alignment horizontal="left"/>
    </xf>
    <xf numFmtId="0" fontId="19" fillId="2" borderId="0" xfId="0" applyFont="1" applyFill="1" applyAlignment="1">
      <alignment wrapText="1"/>
    </xf>
    <xf numFmtId="0" fontId="19" fillId="2" borderId="0" xfId="0" applyFont="1" applyFill="1"/>
    <xf numFmtId="166" fontId="19" fillId="2" borderId="0" xfId="4" applyNumberFormat="1" applyFont="1" applyFill="1"/>
    <xf numFmtId="166" fontId="19" fillId="13" borderId="4" xfId="4" applyNumberFormat="1" applyFont="1" applyFill="1" applyBorder="1" applyAlignment="1">
      <alignment vertical="top"/>
    </xf>
    <xf numFmtId="166" fontId="19" fillId="2" borderId="4" xfId="4" applyNumberFormat="1" applyFont="1" applyFill="1" applyBorder="1" applyAlignment="1">
      <alignment vertical="top"/>
    </xf>
    <xf numFmtId="0" fontId="18" fillId="11" borderId="4" xfId="0" applyFont="1" applyFill="1" applyBorder="1" applyAlignment="1">
      <alignment horizontal="center" vertical="center" wrapText="1"/>
    </xf>
    <xf numFmtId="0" fontId="19" fillId="2" borderId="4" xfId="0" applyFont="1" applyFill="1" applyBorder="1" applyAlignment="1">
      <alignment horizontal="left" vertical="top"/>
    </xf>
    <xf numFmtId="0" fontId="19" fillId="2" borderId="4" xfId="0" applyFont="1" applyFill="1" applyBorder="1" applyAlignment="1">
      <alignment horizontal="left"/>
    </xf>
    <xf numFmtId="0" fontId="19" fillId="2" borderId="4" xfId="0" applyFont="1" applyFill="1" applyBorder="1" applyAlignment="1">
      <alignment horizontal="left" vertical="top" wrapText="1"/>
    </xf>
    <xf numFmtId="166" fontId="19" fillId="0" borderId="0" xfId="0" applyNumberFormat="1" applyFont="1"/>
    <xf numFmtId="0" fontId="18" fillId="11" borderId="4" xfId="0" applyFont="1" applyFill="1" applyBorder="1" applyAlignment="1">
      <alignment horizontal="right" vertical="top"/>
    </xf>
    <xf numFmtId="0" fontId="18" fillId="11" borderId="4" xfId="0" applyFont="1" applyFill="1" applyBorder="1" applyAlignment="1">
      <alignment horizontal="left" vertical="center" wrapText="1"/>
    </xf>
    <xf numFmtId="0" fontId="18" fillId="11" borderId="4" xfId="0" applyFont="1" applyFill="1" applyBorder="1" applyAlignment="1">
      <alignment horizontal="left"/>
    </xf>
    <xf numFmtId="165" fontId="18" fillId="11" borderId="4" xfId="3" applyNumberFormat="1" applyFont="1" applyFill="1" applyBorder="1" applyAlignment="1">
      <alignment horizontal="center" vertical="center"/>
    </xf>
    <xf numFmtId="166" fontId="18" fillId="11" borderId="4" xfId="4" applyNumberFormat="1" applyFont="1" applyFill="1" applyBorder="1" applyAlignment="1">
      <alignment vertical="top"/>
    </xf>
    <xf numFmtId="170" fontId="19" fillId="0" borderId="0" xfId="4" applyNumberFormat="1" applyFont="1" applyAlignment="1">
      <alignment vertical="top"/>
    </xf>
    <xf numFmtId="0" fontId="20" fillId="14" borderId="4" xfId="0" applyFont="1" applyFill="1" applyBorder="1" applyAlignment="1">
      <alignment horizontal="left" vertical="center"/>
    </xf>
    <xf numFmtId="0" fontId="21" fillId="14" borderId="4" xfId="0" applyFont="1" applyFill="1" applyBorder="1" applyAlignment="1">
      <alignment horizontal="left" wrapText="1"/>
    </xf>
    <xf numFmtId="0" fontId="21" fillId="14" borderId="4" xfId="0" applyFont="1" applyFill="1" applyBorder="1" applyAlignment="1">
      <alignment horizontal="right" wrapText="1"/>
    </xf>
    <xf numFmtId="0" fontId="19" fillId="14" borderId="4" xfId="0" applyFont="1" applyFill="1" applyBorder="1" applyAlignment="1">
      <alignment horizontal="left" wrapText="1"/>
    </xf>
    <xf numFmtId="165" fontId="21" fillId="14" borderId="4" xfId="3" applyNumberFormat="1" applyFont="1" applyFill="1" applyBorder="1" applyAlignment="1">
      <alignment horizontal="center" vertical="center" wrapText="1"/>
    </xf>
    <xf numFmtId="0" fontId="19" fillId="14" borderId="4" xfId="0" applyFont="1" applyFill="1" applyBorder="1" applyAlignment="1">
      <alignment horizontal="left" vertical="center"/>
    </xf>
    <xf numFmtId="0" fontId="21" fillId="14" borderId="4" xfId="0" applyFont="1" applyFill="1" applyBorder="1" applyAlignment="1">
      <alignment horizontal="right" vertical="center" wrapText="1"/>
    </xf>
    <xf numFmtId="0" fontId="18" fillId="14" borderId="4" xfId="0" applyFont="1" applyFill="1" applyBorder="1" applyAlignment="1">
      <alignment horizontal="right" wrapText="1"/>
    </xf>
    <xf numFmtId="0" fontId="20" fillId="14" borderId="4" xfId="0" applyFont="1" applyFill="1" applyBorder="1" applyAlignment="1">
      <alignment horizontal="left" wrapText="1"/>
    </xf>
    <xf numFmtId="165" fontId="20" fillId="14" borderId="4" xfId="3" applyNumberFormat="1" applyFont="1" applyFill="1" applyBorder="1" applyAlignment="1">
      <alignment horizontal="center" vertical="center" wrapText="1"/>
    </xf>
    <xf numFmtId="166" fontId="20" fillId="14" borderId="4" xfId="4" applyNumberFormat="1" applyFont="1" applyFill="1" applyBorder="1" applyAlignment="1">
      <alignment horizontal="center" vertical="top"/>
    </xf>
    <xf numFmtId="0" fontId="20" fillId="14" borderId="4" xfId="0" applyFont="1" applyFill="1" applyBorder="1" applyAlignment="1">
      <alignment horizontal="right" vertical="center" wrapText="1"/>
    </xf>
    <xf numFmtId="0" fontId="20" fillId="14" borderId="4" xfId="0" applyFont="1" applyFill="1" applyBorder="1" applyAlignment="1">
      <alignment horizontal="right" wrapText="1"/>
    </xf>
    <xf numFmtId="166" fontId="20" fillId="14" borderId="4" xfId="4" applyNumberFormat="1" applyFont="1" applyFill="1" applyBorder="1" applyAlignment="1">
      <alignment horizontal="center" vertical="top" wrapText="1"/>
    </xf>
    <xf numFmtId="166" fontId="25" fillId="14" borderId="4" xfId="4" applyNumberFormat="1" applyFont="1" applyFill="1" applyBorder="1" applyAlignment="1">
      <alignment horizontal="center" vertical="top" wrapText="1"/>
    </xf>
    <xf numFmtId="166" fontId="19" fillId="14" borderId="4" xfId="4" applyNumberFormat="1" applyFont="1" applyFill="1" applyBorder="1" applyAlignment="1">
      <alignment vertical="top"/>
    </xf>
    <xf numFmtId="165" fontId="20" fillId="11" borderId="4" xfId="3" applyNumberFormat="1" applyFont="1" applyFill="1" applyBorder="1" applyAlignment="1">
      <alignment horizontal="center" vertical="center" wrapText="1"/>
    </xf>
    <xf numFmtId="166" fontId="20" fillId="14" borderId="4" xfId="4" applyNumberFormat="1" applyFont="1" applyFill="1" applyBorder="1" applyAlignment="1">
      <alignment vertical="top"/>
    </xf>
    <xf numFmtId="0" fontId="19" fillId="14" borderId="4" xfId="0" applyFont="1" applyFill="1" applyBorder="1" applyAlignment="1">
      <alignment horizontal="left" vertical="center" wrapText="1"/>
    </xf>
    <xf numFmtId="0" fontId="20" fillId="14" borderId="4" xfId="0" applyFont="1" applyFill="1" applyBorder="1" applyAlignment="1">
      <alignment horizontal="left" vertical="center" wrapText="1"/>
    </xf>
    <xf numFmtId="0" fontId="20" fillId="14" borderId="4" xfId="0" applyFont="1" applyFill="1" applyBorder="1" applyAlignment="1">
      <alignment horizontal="right" vertical="top"/>
    </xf>
    <xf numFmtId="0" fontId="20" fillId="14" borderId="4" xfId="0" applyFont="1" applyFill="1" applyBorder="1" applyAlignment="1">
      <alignment horizontal="left"/>
    </xf>
    <xf numFmtId="165" fontId="20" fillId="14" borderId="4" xfId="3" applyNumberFormat="1" applyFont="1" applyFill="1" applyBorder="1" applyAlignment="1">
      <alignment horizontal="center" vertical="center"/>
    </xf>
    <xf numFmtId="0" fontId="21" fillId="14" borderId="4" xfId="0" applyFont="1" applyFill="1" applyBorder="1" applyAlignment="1">
      <alignment horizontal="left" vertical="center" wrapText="1"/>
    </xf>
    <xf numFmtId="0" fontId="19" fillId="14" borderId="4" xfId="0" applyFont="1" applyFill="1" applyBorder="1" applyAlignment="1">
      <alignment horizontal="right" vertical="top"/>
    </xf>
    <xf numFmtId="0" fontId="19" fillId="14" borderId="4" xfId="0" applyFont="1" applyFill="1" applyBorder="1" applyAlignment="1">
      <alignment horizontal="left"/>
    </xf>
    <xf numFmtId="165" fontId="19" fillId="14" borderId="4" xfId="3" applyNumberFormat="1" applyFont="1" applyFill="1" applyBorder="1" applyAlignment="1">
      <alignment horizontal="center" vertical="center"/>
    </xf>
    <xf numFmtId="166" fontId="19" fillId="14" borderId="4" xfId="5" applyNumberFormat="1" applyFont="1" applyFill="1" applyBorder="1" applyAlignment="1">
      <alignment vertical="top"/>
    </xf>
    <xf numFmtId="166" fontId="20" fillId="14" borderId="4" xfId="5" applyNumberFormat="1" applyFont="1" applyFill="1" applyBorder="1" applyAlignment="1">
      <alignment vertical="top"/>
    </xf>
    <xf numFmtId="0" fontId="18" fillId="11" borderId="4" xfId="0" applyFont="1" applyFill="1" applyBorder="1" applyAlignment="1">
      <alignment horizontal="center" vertical="center" wrapText="1"/>
    </xf>
    <xf numFmtId="166" fontId="19" fillId="0" borderId="0" xfId="4" applyNumberFormat="1" applyFont="1" applyAlignment="1">
      <alignment vertical="top" wrapText="1"/>
    </xf>
    <xf numFmtId="0" fontId="3" fillId="0" borderId="0" xfId="0" applyFont="1"/>
    <xf numFmtId="171" fontId="19" fillId="0" borderId="4" xfId="8" applyNumberFormat="1" applyFont="1" applyBorder="1"/>
    <xf numFmtId="171" fontId="19" fillId="0" borderId="17" xfId="8" applyNumberFormat="1" applyFont="1" applyBorder="1"/>
    <xf numFmtId="171" fontId="19" fillId="2" borderId="1" xfId="8" applyNumberFormat="1" applyFont="1" applyFill="1" applyBorder="1"/>
    <xf numFmtId="171" fontId="19" fillId="2" borderId="4" xfId="8" applyNumberFormat="1" applyFont="1" applyFill="1" applyBorder="1"/>
    <xf numFmtId="171" fontId="19" fillId="0" borderId="4" xfId="8" applyNumberFormat="1" applyFont="1" applyFill="1" applyBorder="1"/>
    <xf numFmtId="171" fontId="19" fillId="10" borderId="4" xfId="8" applyNumberFormat="1" applyFont="1" applyFill="1" applyBorder="1"/>
    <xf numFmtId="0" fontId="19" fillId="10" borderId="4" xfId="0" applyFont="1" applyFill="1" applyBorder="1"/>
    <xf numFmtId="0" fontId="19" fillId="0" borderId="4" xfId="0" applyFont="1" applyFill="1" applyBorder="1"/>
    <xf numFmtId="171" fontId="19" fillId="0" borderId="4" xfId="9" applyNumberFormat="1" applyFont="1" applyBorder="1"/>
    <xf numFmtId="171" fontId="19" fillId="0" borderId="17" xfId="9" applyNumberFormat="1" applyFont="1" applyBorder="1"/>
    <xf numFmtId="171" fontId="19" fillId="2" borderId="1" xfId="9" applyNumberFormat="1" applyFont="1" applyFill="1" applyBorder="1"/>
    <xf numFmtId="171" fontId="19" fillId="2" borderId="4" xfId="9" applyNumberFormat="1" applyFont="1" applyFill="1" applyBorder="1"/>
    <xf numFmtId="171" fontId="19" fillId="0" borderId="4" xfId="9" applyNumberFormat="1" applyFont="1" applyFill="1" applyBorder="1"/>
    <xf numFmtId="171" fontId="19" fillId="10" borderId="4" xfId="9" applyNumberFormat="1" applyFont="1" applyFill="1" applyBorder="1"/>
    <xf numFmtId="0" fontId="0" fillId="0" borderId="0" xfId="0" applyAlignment="1">
      <alignment horizontal="center" vertical="center" wrapText="1"/>
    </xf>
    <xf numFmtId="0" fontId="26" fillId="0" borderId="0" xfId="10"/>
    <xf numFmtId="0" fontId="0" fillId="0" borderId="0" xfId="0" applyAlignment="1">
      <alignment horizontal="center" vertical="center" wrapText="1"/>
    </xf>
    <xf numFmtId="3" fontId="0" fillId="15" borderId="0" xfId="0" applyNumberFormat="1" applyFill="1"/>
    <xf numFmtId="3" fontId="0" fillId="13" borderId="0" xfId="0" applyNumberFormat="1" applyFill="1"/>
    <xf numFmtId="166" fontId="0" fillId="0" borderId="0" xfId="4" applyNumberFormat="1" applyFont="1"/>
    <xf numFmtId="0" fontId="0" fillId="15" borderId="0" xfId="0" applyFill="1"/>
    <xf numFmtId="3" fontId="0" fillId="16" borderId="0" xfId="0" applyNumberFormat="1" applyFill="1"/>
    <xf numFmtId="0" fontId="19" fillId="0" borderId="0" xfId="0" applyFont="1" applyAlignment="1"/>
    <xf numFmtId="3" fontId="19" fillId="0" borderId="0" xfId="0" applyNumberFormat="1" applyFont="1"/>
    <xf numFmtId="0" fontId="19" fillId="0" borderId="4" xfId="0" applyFont="1" applyBorder="1" applyAlignment="1"/>
    <xf numFmtId="166" fontId="20" fillId="14" borderId="25" xfId="4" applyNumberFormat="1" applyFont="1" applyFill="1" applyBorder="1" applyAlignment="1">
      <alignment horizontal="center" vertical="top"/>
    </xf>
    <xf numFmtId="166" fontId="25" fillId="14" borderId="25" xfId="4" applyNumberFormat="1" applyFont="1" applyFill="1" applyBorder="1" applyAlignment="1">
      <alignment horizontal="center" vertical="top" wrapText="1"/>
    </xf>
    <xf numFmtId="1" fontId="19" fillId="0" borderId="4" xfId="0" applyNumberFormat="1" applyFont="1" applyBorder="1" applyAlignment="1">
      <alignment horizontal="center" vertical="center" wrapText="1"/>
    </xf>
    <xf numFmtId="166" fontId="19" fillId="0" borderId="25" xfId="4" applyNumberFormat="1" applyFont="1" applyBorder="1" applyAlignment="1">
      <alignment vertical="top"/>
    </xf>
    <xf numFmtId="166" fontId="20" fillId="14" borderId="25" xfId="4" applyNumberFormat="1" applyFont="1" applyFill="1" applyBorder="1" applyAlignment="1">
      <alignment vertical="top"/>
    </xf>
    <xf numFmtId="43" fontId="19" fillId="0" borderId="4" xfId="4" applyFont="1" applyBorder="1" applyAlignment="1"/>
    <xf numFmtId="166" fontId="19" fillId="0" borderId="4" xfId="0" applyNumberFormat="1" applyFont="1" applyBorder="1" applyAlignment="1"/>
    <xf numFmtId="166" fontId="19" fillId="14" borderId="25" xfId="4" applyNumberFormat="1" applyFont="1" applyFill="1" applyBorder="1" applyAlignment="1">
      <alignment vertical="top"/>
    </xf>
    <xf numFmtId="166" fontId="19" fillId="2" borderId="25" xfId="4" applyNumberFormat="1" applyFont="1" applyFill="1" applyBorder="1" applyAlignment="1">
      <alignment vertical="top"/>
    </xf>
    <xf numFmtId="166" fontId="19" fillId="0" borderId="4" xfId="4" applyNumberFormat="1" applyFont="1" applyBorder="1" applyAlignment="1">
      <alignment vertical="center" wrapText="1"/>
    </xf>
    <xf numFmtId="4" fontId="0" fillId="0" borderId="4" xfId="0" applyNumberFormat="1" applyBorder="1"/>
    <xf numFmtId="0" fontId="0" fillId="0" borderId="4" xfId="0" applyBorder="1"/>
    <xf numFmtId="166" fontId="18" fillId="11" borderId="25" xfId="4" applyNumberFormat="1" applyFont="1" applyFill="1" applyBorder="1" applyAlignment="1">
      <alignment vertical="top"/>
    </xf>
    <xf numFmtId="166" fontId="19" fillId="0" borderId="0" xfId="4" applyNumberFormat="1" applyFont="1" applyAlignment="1"/>
    <xf numFmtId="3" fontId="19" fillId="0" borderId="0" xfId="4" applyNumberFormat="1" applyFont="1"/>
    <xf numFmtId="3" fontId="27" fillId="13" borderId="4" xfId="0" applyNumberFormat="1" applyFont="1" applyFill="1" applyBorder="1"/>
    <xf numFmtId="3" fontId="28" fillId="0" borderId="4" xfId="0" applyNumberFormat="1" applyFont="1" applyBorder="1" applyAlignment="1"/>
    <xf numFmtId="166" fontId="27" fillId="0" borderId="4" xfId="4" applyNumberFormat="1" applyFont="1" applyBorder="1" applyAlignment="1"/>
    <xf numFmtId="0" fontId="27" fillId="0" borderId="4" xfId="0" applyFont="1" applyBorder="1" applyAlignment="1"/>
    <xf numFmtId="0" fontId="30" fillId="0" borderId="0" xfId="0" applyFont="1" applyFill="1" applyAlignment="1">
      <alignment vertical="center"/>
    </xf>
    <xf numFmtId="0" fontId="32" fillId="0" borderId="19" xfId="0" applyFont="1" applyBorder="1" applyAlignment="1">
      <alignment vertical="center"/>
    </xf>
    <xf numFmtId="0" fontId="32" fillId="0" borderId="19" xfId="0" applyFont="1" applyBorder="1" applyAlignment="1">
      <alignment horizontal="right" vertical="center"/>
    </xf>
    <xf numFmtId="0" fontId="34" fillId="0" borderId="0" xfId="0" applyFont="1" applyFill="1" applyAlignment="1">
      <alignment vertical="center"/>
    </xf>
    <xf numFmtId="0" fontId="33" fillId="11" borderId="50" xfId="0" applyFont="1" applyFill="1" applyBorder="1" applyAlignment="1">
      <alignment horizontal="justify" vertical="center" wrapText="1"/>
    </xf>
    <xf numFmtId="0" fontId="33" fillId="11" borderId="51" xfId="0" applyFont="1" applyFill="1" applyBorder="1" applyAlignment="1">
      <alignment horizontal="justify" vertical="center"/>
    </xf>
    <xf numFmtId="0" fontId="33" fillId="11" borderId="51" xfId="0" applyFont="1" applyFill="1" applyBorder="1" applyAlignment="1">
      <alignment horizontal="justify" vertical="center" wrapText="1"/>
    </xf>
    <xf numFmtId="167" fontId="33" fillId="11" borderId="51" xfId="0" applyNumberFormat="1" applyFont="1" applyFill="1" applyBorder="1" applyAlignment="1">
      <alignment horizontal="center" vertical="center" wrapText="1"/>
    </xf>
    <xf numFmtId="0" fontId="32" fillId="0" borderId="6" xfId="0" applyFont="1" applyBorder="1" applyAlignment="1">
      <alignment horizontal="justify" vertical="center" wrapText="1"/>
    </xf>
    <xf numFmtId="0" fontId="32" fillId="0" borderId="4" xfId="0" applyFont="1" applyBorder="1" applyAlignment="1">
      <alignment horizontal="justify" vertical="center"/>
    </xf>
    <xf numFmtId="0" fontId="32" fillId="0" borderId="25" xfId="0" applyFont="1" applyBorder="1" applyAlignment="1">
      <alignment horizontal="justify" vertical="center" wrapText="1"/>
    </xf>
    <xf numFmtId="167" fontId="32" fillId="0" borderId="4" xfId="0" applyNumberFormat="1" applyFont="1" applyBorder="1" applyAlignment="1">
      <alignment horizontal="center" vertical="center"/>
    </xf>
    <xf numFmtId="0" fontId="32" fillId="0" borderId="8" xfId="0" applyFont="1" applyBorder="1" applyAlignment="1">
      <alignment horizontal="justify" vertical="center" wrapText="1"/>
    </xf>
    <xf numFmtId="0" fontId="32" fillId="0" borderId="2" xfId="0" applyFont="1" applyBorder="1" applyAlignment="1">
      <alignment horizontal="justify" vertical="center"/>
    </xf>
    <xf numFmtId="0" fontId="32" fillId="0" borderId="27" xfId="0" applyFont="1" applyBorder="1" applyAlignment="1">
      <alignment horizontal="justify" vertical="center" wrapText="1"/>
    </xf>
    <xf numFmtId="167" fontId="32" fillId="0" borderId="2" xfId="0" applyNumberFormat="1" applyFont="1" applyBorder="1" applyAlignment="1">
      <alignment horizontal="center" vertical="center"/>
    </xf>
    <xf numFmtId="167" fontId="33" fillId="11" borderId="54" xfId="0" applyNumberFormat="1" applyFont="1" applyFill="1" applyBorder="1" applyAlignment="1">
      <alignment horizontal="center" vertical="center" wrapText="1"/>
    </xf>
    <xf numFmtId="0" fontId="32" fillId="0" borderId="0" xfId="0" applyFont="1" applyBorder="1" applyAlignment="1">
      <alignment horizontal="justify" vertical="center" wrapText="1"/>
    </xf>
    <xf numFmtId="0" fontId="32" fillId="0" borderId="0" xfId="0" applyFont="1" applyBorder="1" applyAlignment="1">
      <alignment horizontal="justify" vertical="center"/>
    </xf>
    <xf numFmtId="167" fontId="32" fillId="0" borderId="0" xfId="0" applyNumberFormat="1" applyFont="1" applyBorder="1" applyAlignment="1">
      <alignment horizontal="right" vertical="center"/>
    </xf>
    <xf numFmtId="0" fontId="33" fillId="11" borderId="56" xfId="0" applyFont="1" applyFill="1" applyBorder="1" applyAlignment="1">
      <alignment horizontal="justify" vertical="center" wrapText="1"/>
    </xf>
    <xf numFmtId="0" fontId="33" fillId="11" borderId="57" xfId="0" applyFont="1" applyFill="1" applyBorder="1" applyAlignment="1">
      <alignment horizontal="justify" vertical="center"/>
    </xf>
    <xf numFmtId="167" fontId="32" fillId="0" borderId="4" xfId="0" applyNumberFormat="1" applyFont="1" applyBorder="1" applyAlignment="1">
      <alignment horizontal="right" vertical="center"/>
    </xf>
    <xf numFmtId="0" fontId="32" fillId="0" borderId="44" xfId="0" applyFont="1" applyBorder="1" applyAlignment="1">
      <alignment horizontal="justify" vertical="center"/>
    </xf>
    <xf numFmtId="0" fontId="32" fillId="0" borderId="20" xfId="0" applyFont="1" applyBorder="1" applyAlignment="1">
      <alignment horizontal="justify" vertical="center" wrapText="1"/>
    </xf>
    <xf numFmtId="0" fontId="30" fillId="0" borderId="0" xfId="0" applyFont="1" applyFill="1" applyBorder="1" applyAlignment="1">
      <alignment vertical="center"/>
    </xf>
    <xf numFmtId="0" fontId="32" fillId="0" borderId="11" xfId="0" applyFont="1" applyBorder="1" applyAlignment="1">
      <alignment horizontal="justify" vertical="center" wrapText="1"/>
    </xf>
    <xf numFmtId="0" fontId="32" fillId="0" borderId="3" xfId="0" applyFont="1" applyBorder="1" applyAlignment="1">
      <alignment horizontal="justify" vertical="center"/>
    </xf>
    <xf numFmtId="0" fontId="35" fillId="0" borderId="25" xfId="0" applyFont="1" applyBorder="1" applyAlignment="1">
      <alignment horizontal="justify" vertical="center" wrapText="1"/>
    </xf>
    <xf numFmtId="0" fontId="35" fillId="0" borderId="6" xfId="0" applyFont="1" applyBorder="1" applyAlignment="1">
      <alignment horizontal="justify" vertical="center" wrapText="1"/>
    </xf>
    <xf numFmtId="0" fontId="32" fillId="0" borderId="4" xfId="0" applyFont="1" applyFill="1" applyBorder="1" applyAlignment="1">
      <alignment horizontal="justify" vertical="center"/>
    </xf>
    <xf numFmtId="0" fontId="32" fillId="0" borderId="58" xfId="0" applyFont="1" applyBorder="1" applyAlignment="1">
      <alignment horizontal="justify" vertical="center"/>
    </xf>
    <xf numFmtId="0" fontId="32" fillId="0" borderId="2" xfId="0" applyFont="1" applyFill="1" applyBorder="1" applyAlignment="1">
      <alignment horizontal="justify" vertical="center"/>
    </xf>
    <xf numFmtId="167" fontId="33" fillId="11" borderId="54" xfId="0" applyNumberFormat="1" applyFont="1" applyFill="1" applyBorder="1" applyAlignment="1">
      <alignment vertical="center" wrapText="1"/>
    </xf>
    <xf numFmtId="0" fontId="33" fillId="11" borderId="59" xfId="0" applyFont="1" applyFill="1" applyBorder="1" applyAlignment="1">
      <alignment horizontal="justify" vertical="center" wrapText="1"/>
    </xf>
    <xf numFmtId="0" fontId="33" fillId="11" borderId="60" xfId="0" applyFont="1" applyFill="1" applyBorder="1" applyAlignment="1">
      <alignment horizontal="justify" vertical="center" wrapText="1"/>
    </xf>
    <xf numFmtId="0" fontId="35" fillId="0" borderId="27" xfId="0" applyFont="1" applyBorder="1" applyAlignment="1">
      <alignment horizontal="justify" vertical="center" wrapText="1"/>
    </xf>
    <xf numFmtId="0" fontId="38" fillId="0" borderId="0" xfId="0" applyFont="1" applyAlignment="1">
      <alignment vertical="center" wrapText="1"/>
    </xf>
    <xf numFmtId="0" fontId="38" fillId="0" borderId="0" xfId="0" applyFont="1" applyAlignment="1">
      <alignment horizontal="right" vertical="center" wrapText="1"/>
    </xf>
    <xf numFmtId="167" fontId="33" fillId="11" borderId="50" xfId="0" applyNumberFormat="1" applyFont="1" applyFill="1" applyBorder="1" applyAlignment="1">
      <alignment horizontal="center" vertical="center" wrapText="1"/>
    </xf>
    <xf numFmtId="167" fontId="40" fillId="11" borderId="54" xfId="0" applyNumberFormat="1" applyFont="1" applyFill="1" applyBorder="1" applyAlignment="1">
      <alignment vertical="center" wrapText="1"/>
    </xf>
    <xf numFmtId="0" fontId="41" fillId="0" borderId="0" xfId="0" applyFont="1" applyFill="1" applyAlignment="1">
      <alignment vertical="center" wrapText="1"/>
    </xf>
    <xf numFmtId="167" fontId="30" fillId="0" borderId="4" xfId="0" applyNumberFormat="1" applyFont="1" applyFill="1" applyBorder="1" applyAlignment="1">
      <alignment horizontal="right" vertical="center" wrapText="1"/>
    </xf>
    <xf numFmtId="0" fontId="32" fillId="2" borderId="25" xfId="0" applyFont="1" applyFill="1" applyBorder="1" applyAlignment="1">
      <alignment horizontal="justify" vertical="center" wrapText="1"/>
    </xf>
    <xf numFmtId="0" fontId="30" fillId="0" borderId="25" xfId="0" applyFont="1" applyFill="1" applyBorder="1" applyAlignment="1">
      <alignment vertical="center"/>
    </xf>
    <xf numFmtId="0" fontId="32" fillId="2" borderId="25" xfId="0" applyFont="1" applyFill="1" applyBorder="1" applyAlignment="1">
      <alignment vertical="center" wrapText="1"/>
    </xf>
    <xf numFmtId="167" fontId="32" fillId="0" borderId="1" xfId="0" applyNumberFormat="1" applyFont="1" applyBorder="1" applyAlignment="1">
      <alignment horizontal="right" vertical="center"/>
    </xf>
    <xf numFmtId="0" fontId="32" fillId="0" borderId="25" xfId="0" applyFont="1" applyBorder="1" applyAlignment="1">
      <alignment vertical="center" wrapText="1"/>
    </xf>
    <xf numFmtId="167" fontId="32" fillId="0" borderId="2" xfId="0" applyNumberFormat="1" applyFont="1" applyBorder="1" applyAlignment="1">
      <alignment horizontal="right" vertical="center"/>
    </xf>
    <xf numFmtId="0" fontId="32" fillId="0" borderId="0" xfId="0" applyFont="1" applyAlignment="1">
      <alignment horizontal="justify" vertical="center" wrapText="1"/>
    </xf>
    <xf numFmtId="0" fontId="32" fillId="0" borderId="0" xfId="0" applyFont="1" applyAlignment="1">
      <alignment horizontal="justify" vertical="center"/>
    </xf>
    <xf numFmtId="167" fontId="32" fillId="0" borderId="0" xfId="0" applyNumberFormat="1" applyFont="1" applyAlignment="1">
      <alignment horizontal="right" vertical="center"/>
    </xf>
    <xf numFmtId="0" fontId="35" fillId="0" borderId="8" xfId="0" applyFont="1" applyBorder="1" applyAlignment="1">
      <alignment horizontal="justify" vertical="center" wrapText="1"/>
    </xf>
    <xf numFmtId="0" fontId="35" fillId="0" borderId="0" xfId="0" applyFont="1" applyBorder="1" applyAlignment="1">
      <alignment horizontal="justify" vertical="center" wrapText="1"/>
    </xf>
    <xf numFmtId="167" fontId="42" fillId="11" borderId="54" xfId="0" applyNumberFormat="1" applyFont="1" applyFill="1" applyBorder="1" applyAlignment="1">
      <alignment vertical="center" wrapText="1"/>
    </xf>
    <xf numFmtId="0" fontId="32" fillId="0" borderId="62" xfId="0" applyFont="1" applyBorder="1" applyAlignment="1">
      <alignment horizontal="justify" vertical="center" wrapText="1"/>
    </xf>
    <xf numFmtId="3" fontId="32" fillId="0" borderId="62" xfId="0" applyNumberFormat="1" applyFont="1" applyBorder="1" applyAlignment="1">
      <alignment horizontal="justify" vertical="center" wrapText="1"/>
    </xf>
    <xf numFmtId="167" fontId="32" fillId="13" borderId="4" xfId="0" applyNumberFormat="1" applyFont="1" applyFill="1" applyBorder="1" applyAlignment="1">
      <alignment horizontal="right" vertical="center"/>
    </xf>
    <xf numFmtId="9" fontId="19" fillId="14" borderId="4" xfId="5" applyFont="1" applyFill="1" applyBorder="1" applyAlignment="1">
      <alignment vertical="top"/>
    </xf>
    <xf numFmtId="0" fontId="4" fillId="0" borderId="0" xfId="0" applyFont="1"/>
    <xf numFmtId="0" fontId="4" fillId="0" borderId="9" xfId="0" applyFont="1" applyBorder="1" applyAlignment="1">
      <alignment vertical="top" wrapText="1"/>
    </xf>
    <xf numFmtId="0" fontId="4" fillId="0" borderId="30" xfId="0" applyFont="1" applyBorder="1" applyAlignment="1">
      <alignment vertical="top" wrapText="1"/>
    </xf>
    <xf numFmtId="0" fontId="0" fillId="0" borderId="64" xfId="0" applyBorder="1" applyAlignment="1">
      <alignment vertical="top" wrapText="1"/>
    </xf>
    <xf numFmtId="0" fontId="0" fillId="0" borderId="63" xfId="0" applyBorder="1" applyAlignment="1">
      <alignment vertical="top" wrapText="1"/>
    </xf>
    <xf numFmtId="0" fontId="44" fillId="0" borderId="9" xfId="0" applyFont="1" applyBorder="1" applyAlignment="1">
      <alignment vertical="top" wrapText="1"/>
    </xf>
    <xf numFmtId="0" fontId="44" fillId="0" borderId="30" xfId="0" applyFont="1" applyBorder="1" applyAlignment="1">
      <alignment vertical="top" wrapText="1"/>
    </xf>
    <xf numFmtId="0" fontId="44" fillId="0" borderId="14" xfId="0" applyFont="1" applyBorder="1" applyAlignment="1">
      <alignment vertical="top" wrapText="1"/>
    </xf>
    <xf numFmtId="0" fontId="44" fillId="0" borderId="63" xfId="0" applyFont="1" applyBorder="1" applyAlignment="1">
      <alignment vertical="top" wrapText="1"/>
    </xf>
    <xf numFmtId="3" fontId="44" fillId="0" borderId="63" xfId="0" applyNumberFormat="1" applyFont="1" applyBorder="1" applyAlignment="1">
      <alignment vertical="top" wrapText="1"/>
    </xf>
    <xf numFmtId="0" fontId="44" fillId="0" borderId="64" xfId="0" applyFont="1" applyBorder="1" applyAlignment="1">
      <alignment vertical="top" wrapText="1"/>
    </xf>
    <xf numFmtId="3" fontId="44" fillId="0" borderId="64" xfId="0" applyNumberFormat="1" applyFont="1" applyBorder="1" applyAlignment="1">
      <alignment vertical="top" wrapText="1"/>
    </xf>
    <xf numFmtId="0" fontId="45" fillId="0" borderId="63" xfId="0" applyFont="1" applyBorder="1" applyAlignment="1">
      <alignment vertical="top" wrapText="1"/>
    </xf>
    <xf numFmtId="3" fontId="44" fillId="13" borderId="64" xfId="0" applyNumberFormat="1" applyFont="1" applyFill="1" applyBorder="1" applyAlignment="1">
      <alignment vertical="top" wrapText="1"/>
    </xf>
    <xf numFmtId="3" fontId="44" fillId="13" borderId="63" xfId="0" applyNumberFormat="1" applyFont="1" applyFill="1" applyBorder="1" applyAlignment="1">
      <alignment vertical="top" wrapText="1"/>
    </xf>
    <xf numFmtId="166" fontId="25" fillId="17" borderId="4" xfId="4" applyNumberFormat="1" applyFont="1" applyFill="1" applyBorder="1" applyAlignment="1">
      <alignment horizontal="center" vertical="top" wrapText="1"/>
    </xf>
    <xf numFmtId="0" fontId="46" fillId="0" borderId="64" xfId="0" applyFont="1" applyBorder="1" applyAlignment="1">
      <alignment vertical="top" wrapText="1"/>
    </xf>
    <xf numFmtId="0" fontId="46" fillId="0" borderId="4" xfId="0" applyFont="1" applyBorder="1" applyAlignment="1">
      <alignment vertical="top" wrapText="1"/>
    </xf>
    <xf numFmtId="3" fontId="44" fillId="10" borderId="64" xfId="0" applyNumberFormat="1" applyFont="1" applyFill="1" applyBorder="1" applyAlignment="1">
      <alignment vertical="top" wrapText="1"/>
    </xf>
    <xf numFmtId="0" fontId="44" fillId="10" borderId="64" xfId="0" applyFont="1" applyFill="1" applyBorder="1" applyAlignment="1">
      <alignment vertical="top" wrapText="1"/>
    </xf>
    <xf numFmtId="0" fontId="46" fillId="18" borderId="4" xfId="0" applyFont="1" applyFill="1" applyBorder="1" applyAlignment="1">
      <alignment vertical="top" wrapText="1"/>
    </xf>
    <xf numFmtId="166" fontId="19" fillId="0" borderId="0" xfId="4" applyNumberFormat="1" applyFont="1" applyAlignment="1">
      <alignment horizontal="left"/>
    </xf>
    <xf numFmtId="166" fontId="20" fillId="14" borderId="4" xfId="4" applyNumberFormat="1" applyFont="1" applyFill="1" applyBorder="1" applyAlignment="1">
      <alignment horizontal="left" vertical="center"/>
    </xf>
    <xf numFmtId="166" fontId="20" fillId="14" borderId="4" xfId="4" applyNumberFormat="1" applyFont="1" applyFill="1" applyBorder="1" applyAlignment="1">
      <alignment horizontal="left" wrapText="1"/>
    </xf>
    <xf numFmtId="0" fontId="19" fillId="19" borderId="0" xfId="0" applyFont="1" applyFill="1" applyAlignment="1">
      <alignment horizontal="center" vertical="center"/>
    </xf>
    <xf numFmtId="166" fontId="19" fillId="2" borderId="4" xfId="4" applyNumberFormat="1" applyFont="1" applyFill="1" applyBorder="1" applyAlignment="1">
      <alignment horizontal="left" vertical="top"/>
    </xf>
    <xf numFmtId="166" fontId="19" fillId="2" borderId="4" xfId="4" applyNumberFormat="1" applyFont="1" applyFill="1" applyBorder="1" applyAlignment="1">
      <alignment horizontal="left"/>
    </xf>
    <xf numFmtId="166" fontId="19" fillId="2" borderId="4" xfId="4" applyNumberFormat="1" applyFont="1" applyFill="1" applyBorder="1" applyAlignment="1">
      <alignment horizontal="left" vertical="top" wrapText="1"/>
    </xf>
    <xf numFmtId="166" fontId="19" fillId="0" borderId="4" xfId="4" applyNumberFormat="1" applyFont="1" applyBorder="1" applyAlignment="1">
      <alignment horizontal="left" vertical="top"/>
    </xf>
    <xf numFmtId="166" fontId="19" fillId="14" borderId="4" xfId="4" applyNumberFormat="1" applyFont="1" applyFill="1" applyBorder="1" applyAlignment="1">
      <alignment horizontal="left" wrapText="1"/>
    </xf>
    <xf numFmtId="166" fontId="20" fillId="14" borderId="4" xfId="4" applyNumberFormat="1" applyFont="1" applyFill="1" applyBorder="1" applyAlignment="1">
      <alignment horizontal="left" vertical="center" wrapText="1"/>
    </xf>
    <xf numFmtId="166" fontId="20" fillId="14" borderId="4" xfId="4" applyNumberFormat="1" applyFont="1" applyFill="1" applyBorder="1" applyAlignment="1">
      <alignment horizontal="left"/>
    </xf>
    <xf numFmtId="166" fontId="19" fillId="14" borderId="4" xfId="4" applyNumberFormat="1" applyFont="1" applyFill="1" applyBorder="1" applyAlignment="1">
      <alignment horizontal="left" vertical="center" wrapText="1"/>
    </xf>
    <xf numFmtId="166" fontId="19" fillId="14" borderId="4" xfId="4" applyNumberFormat="1" applyFont="1" applyFill="1" applyBorder="1" applyAlignment="1">
      <alignment horizontal="left"/>
    </xf>
    <xf numFmtId="166" fontId="19" fillId="9" borderId="4" xfId="4" applyNumberFormat="1" applyFont="1" applyFill="1" applyBorder="1" applyAlignment="1">
      <alignment vertical="top"/>
    </xf>
    <xf numFmtId="166" fontId="18" fillId="11" borderId="4" xfId="4" applyNumberFormat="1" applyFont="1" applyFill="1" applyBorder="1" applyAlignment="1">
      <alignment horizontal="left"/>
    </xf>
    <xf numFmtId="43" fontId="19" fillId="0" borderId="4" xfId="4" applyFont="1" applyBorder="1" applyAlignment="1">
      <alignment vertical="center"/>
    </xf>
    <xf numFmtId="165" fontId="19" fillId="0" borderId="0" xfId="0" applyNumberFormat="1" applyFont="1"/>
    <xf numFmtId="0" fontId="18" fillId="11" borderId="4" xfId="0" applyFont="1" applyFill="1" applyBorder="1" applyAlignment="1">
      <alignment horizontal="center" vertical="center" wrapText="1"/>
    </xf>
    <xf numFmtId="0" fontId="19" fillId="0" borderId="0" xfId="0" applyFont="1" applyAlignment="1">
      <alignment horizontal="center" vertical="center" wrapText="1"/>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165" fontId="0" fillId="2" borderId="13"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166" fontId="0" fillId="2" borderId="13" xfId="4" applyNumberFormat="1" applyFont="1" applyFill="1" applyBorder="1" applyAlignment="1">
      <alignment horizontal="center" vertical="center" wrapText="1"/>
    </xf>
    <xf numFmtId="0" fontId="13" fillId="2" borderId="0" xfId="0" applyFont="1" applyFill="1" applyAlignment="1">
      <alignment horizontal="center" wrapText="1"/>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40" xfId="0" applyFont="1" applyFill="1" applyBorder="1" applyAlignment="1">
      <alignment horizontal="center" vertical="center" wrapText="1"/>
    </xf>
    <xf numFmtId="165" fontId="0" fillId="4" borderId="12" xfId="0" applyNumberFormat="1"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165" fontId="0" fillId="2" borderId="12"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165" fontId="16" fillId="5" borderId="28" xfId="3" applyNumberFormat="1" applyFont="1" applyFill="1" applyBorder="1" applyAlignment="1">
      <alignment horizontal="center"/>
    </xf>
    <xf numFmtId="165" fontId="16" fillId="5" borderId="29" xfId="3" applyNumberFormat="1" applyFont="1" applyFill="1" applyBorder="1" applyAlignment="1">
      <alignment horizontal="center"/>
    </xf>
    <xf numFmtId="2" fontId="12" fillId="5" borderId="20" xfId="0" applyNumberFormat="1" applyFont="1" applyFill="1" applyBorder="1" applyAlignment="1">
      <alignment horizontal="center" vertical="center" wrapText="1"/>
    </xf>
    <xf numFmtId="2" fontId="12" fillId="5" borderId="11" xfId="0" applyNumberFormat="1" applyFont="1" applyFill="1" applyBorder="1" applyAlignment="1">
      <alignment horizontal="center" vertical="center" wrapText="1"/>
    </xf>
    <xf numFmtId="2" fontId="12" fillId="5" borderId="17" xfId="0" applyNumberFormat="1" applyFont="1" applyFill="1" applyBorder="1" applyAlignment="1">
      <alignment horizontal="center" vertical="center" wrapText="1"/>
    </xf>
    <xf numFmtId="2" fontId="12" fillId="5" borderId="3"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2" fontId="12" fillId="5" borderId="35" xfId="0" applyNumberFormat="1" applyFont="1" applyFill="1" applyBorder="1" applyAlignment="1">
      <alignment horizontal="center" vertical="center" wrapText="1"/>
    </xf>
    <xf numFmtId="165" fontId="16" fillId="7" borderId="28" xfId="3" applyNumberFormat="1" applyFont="1" applyFill="1" applyBorder="1" applyAlignment="1">
      <alignment horizontal="center"/>
    </xf>
    <xf numFmtId="165" fontId="16" fillId="7" borderId="29" xfId="3" applyNumberFormat="1" applyFont="1" applyFill="1" applyBorder="1" applyAlignment="1">
      <alignment horizontal="center"/>
    </xf>
    <xf numFmtId="165" fontId="16" fillId="7" borderId="30" xfId="3" applyNumberFormat="1" applyFont="1" applyFill="1" applyBorder="1" applyAlignment="1">
      <alignment horizontal="center"/>
    </xf>
    <xf numFmtId="165" fontId="16" fillId="6" borderId="28" xfId="3" applyNumberFormat="1" applyFont="1" applyFill="1" applyBorder="1" applyAlignment="1">
      <alignment horizontal="center"/>
    </xf>
    <xf numFmtId="165" fontId="16" fillId="6" borderId="29" xfId="3" applyNumberFormat="1" applyFont="1" applyFill="1" applyBorder="1" applyAlignment="1">
      <alignment horizontal="center"/>
    </xf>
    <xf numFmtId="165" fontId="16" fillId="6" borderId="30" xfId="3" applyNumberFormat="1" applyFont="1" applyFill="1" applyBorder="1" applyAlignment="1">
      <alignment horizontal="center"/>
    </xf>
    <xf numFmtId="166" fontId="12" fillId="8" borderId="37" xfId="4" applyNumberFormat="1" applyFont="1" applyFill="1" applyBorder="1" applyAlignment="1">
      <alignment horizontal="center" vertical="center" wrapText="1"/>
    </xf>
    <xf numFmtId="166" fontId="12" fillId="8" borderId="38" xfId="4" applyNumberFormat="1" applyFont="1" applyFill="1" applyBorder="1" applyAlignment="1">
      <alignment horizontal="center" vertical="center" wrapText="1"/>
    </xf>
    <xf numFmtId="166" fontId="12" fillId="8" borderId="40" xfId="4" applyNumberFormat="1" applyFont="1" applyFill="1" applyBorder="1" applyAlignment="1">
      <alignment horizontal="center" vertical="center" wrapText="1"/>
    </xf>
    <xf numFmtId="166" fontId="0" fillId="4" borderId="12" xfId="4" applyNumberFormat="1" applyFont="1" applyFill="1" applyBorder="1" applyAlignment="1">
      <alignment horizontal="center" vertical="center" wrapText="1"/>
    </xf>
    <xf numFmtId="166" fontId="0" fillId="4" borderId="13" xfId="4" applyNumberFormat="1" applyFont="1" applyFill="1" applyBorder="1" applyAlignment="1">
      <alignment horizontal="center" vertical="center" wrapText="1"/>
    </xf>
    <xf numFmtId="166" fontId="0" fillId="4" borderId="14" xfId="4" applyNumberFormat="1" applyFont="1" applyFill="1" applyBorder="1" applyAlignment="1">
      <alignment horizontal="center" vertical="center" wrapText="1"/>
    </xf>
    <xf numFmtId="166" fontId="0" fillId="2" borderId="12" xfId="4" applyNumberFormat="1" applyFont="1" applyFill="1" applyBorder="1" applyAlignment="1">
      <alignment horizontal="center" vertical="center" wrapText="1"/>
    </xf>
    <xf numFmtId="166" fontId="0" fillId="2" borderId="14" xfId="4" applyNumberFormat="1" applyFont="1" applyFill="1" applyBorder="1" applyAlignment="1">
      <alignment horizontal="center" vertical="center" wrapText="1"/>
    </xf>
    <xf numFmtId="165" fontId="0" fillId="4" borderId="12" xfId="0" applyNumberFormat="1"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166" fontId="0" fillId="4" borderId="12" xfId="4" applyNumberFormat="1" applyFont="1" applyFill="1" applyBorder="1" applyAlignment="1">
      <alignment horizontal="center" vertical="center"/>
    </xf>
    <xf numFmtId="166" fontId="0" fillId="4" borderId="13" xfId="4" applyNumberFormat="1" applyFont="1" applyFill="1" applyBorder="1" applyAlignment="1">
      <alignment horizontal="center" vertical="center"/>
    </xf>
    <xf numFmtId="166" fontId="0" fillId="4" borderId="14" xfId="4" applyNumberFormat="1" applyFont="1" applyFill="1" applyBorder="1" applyAlignment="1">
      <alignment horizontal="center" vertical="center"/>
    </xf>
    <xf numFmtId="165" fontId="11" fillId="4" borderId="28" xfId="3" applyNumberFormat="1" applyFont="1" applyFill="1" applyBorder="1" applyAlignment="1">
      <alignment horizontal="center"/>
    </xf>
    <xf numFmtId="165" fontId="11" fillId="4" borderId="29" xfId="3" applyNumberFormat="1" applyFont="1" applyFill="1" applyBorder="1" applyAlignment="1">
      <alignment horizontal="center"/>
    </xf>
    <xf numFmtId="165" fontId="11" fillId="4" borderId="18" xfId="3" applyNumberFormat="1" applyFont="1" applyFill="1" applyBorder="1" applyAlignment="1">
      <alignment horizontal="center"/>
    </xf>
    <xf numFmtId="165" fontId="11" fillId="4" borderId="19" xfId="3" applyNumberFormat="1" applyFont="1" applyFill="1" applyBorder="1" applyAlignment="1">
      <alignment horizontal="center"/>
    </xf>
    <xf numFmtId="2" fontId="12" fillId="6" borderId="16" xfId="0" applyNumberFormat="1" applyFont="1" applyFill="1" applyBorder="1" applyAlignment="1">
      <alignment horizontal="center" vertical="center" wrapText="1"/>
    </xf>
    <xf numFmtId="2" fontId="12" fillId="6" borderId="34" xfId="0" applyNumberFormat="1" applyFont="1" applyFill="1" applyBorder="1" applyAlignment="1">
      <alignment horizontal="center" vertical="center" wrapText="1"/>
    </xf>
    <xf numFmtId="2" fontId="12" fillId="6" borderId="36" xfId="0" applyNumberFormat="1" applyFont="1" applyFill="1" applyBorder="1" applyAlignment="1">
      <alignment horizontal="center" vertical="center" wrapText="1"/>
    </xf>
    <xf numFmtId="1" fontId="0" fillId="4" borderId="7" xfId="0" applyNumberFormat="1" applyFont="1" applyFill="1" applyBorder="1" applyAlignment="1">
      <alignment horizontal="center" vertical="center" wrapText="1"/>
    </xf>
    <xf numFmtId="1" fontId="0" fillId="4" borderId="6"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2" fontId="12" fillId="6" borderId="17"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7" borderId="15" xfId="0" applyNumberFormat="1" applyFont="1" applyFill="1" applyBorder="1" applyAlignment="1">
      <alignment horizontal="center" vertical="center" wrapText="1"/>
    </xf>
    <xf numFmtId="2" fontId="12" fillId="6" borderId="20" xfId="0" applyNumberFormat="1"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2" fontId="12" fillId="7" borderId="34" xfId="0" applyNumberFormat="1" applyFont="1" applyFill="1" applyBorder="1" applyAlignment="1">
      <alignment horizontal="center" vertical="center" wrapText="1"/>
    </xf>
    <xf numFmtId="2" fontId="12" fillId="7" borderId="33" xfId="0" applyNumberFormat="1" applyFont="1" applyFill="1" applyBorder="1" applyAlignment="1">
      <alignment horizontal="center" vertical="center" wrapText="1"/>
    </xf>
    <xf numFmtId="2" fontId="12" fillId="7" borderId="17" xfId="0" applyNumberFormat="1" applyFont="1" applyFill="1" applyBorder="1" applyAlignment="1">
      <alignment horizontal="center" vertical="center" wrapText="1"/>
    </xf>
    <xf numFmtId="2" fontId="12" fillId="7" borderId="2"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2" fontId="12" fillId="7" borderId="8"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23" xfId="0" applyFont="1" applyFill="1" applyBorder="1" applyAlignment="1">
      <alignment horizontal="center" vertical="center" wrapText="1"/>
    </xf>
    <xf numFmtId="165" fontId="17" fillId="10" borderId="28" xfId="0" applyNumberFormat="1" applyFont="1" applyFill="1" applyBorder="1" applyAlignment="1">
      <alignment horizontal="center"/>
    </xf>
    <xf numFmtId="165" fontId="17" fillId="10" borderId="29" xfId="0" applyNumberFormat="1" applyFont="1" applyFill="1" applyBorder="1" applyAlignment="1">
      <alignment horizontal="center"/>
    </xf>
    <xf numFmtId="165" fontId="17" fillId="10" borderId="30" xfId="0" applyNumberFormat="1" applyFont="1" applyFill="1" applyBorder="1" applyAlignment="1">
      <alignment horizontal="center"/>
    </xf>
    <xf numFmtId="0" fontId="0" fillId="2" borderId="2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165" fontId="8" fillId="2" borderId="28" xfId="0" applyNumberFormat="1" applyFont="1" applyFill="1" applyBorder="1" applyAlignment="1">
      <alignment horizontal="center"/>
    </xf>
    <xf numFmtId="165" fontId="8" fillId="2" borderId="29" xfId="0" applyNumberFormat="1" applyFont="1" applyFill="1" applyBorder="1" applyAlignment="1">
      <alignment horizontal="center"/>
    </xf>
    <xf numFmtId="165" fontId="8" fillId="2" borderId="30" xfId="0" applyNumberFormat="1" applyFont="1" applyFill="1" applyBorder="1" applyAlignment="1">
      <alignment horizontal="center"/>
    </xf>
    <xf numFmtId="0" fontId="20" fillId="14" borderId="4" xfId="0" applyFont="1" applyFill="1" applyBorder="1" applyAlignment="1">
      <alignment horizontal="center" vertical="center" wrapText="1"/>
    </xf>
    <xf numFmtId="0" fontId="20" fillId="14" borderId="25" xfId="0" applyFont="1" applyFill="1" applyBorder="1" applyAlignment="1">
      <alignment horizontal="left" vertical="top" wrapText="1"/>
    </xf>
    <xf numFmtId="0" fontId="20" fillId="14" borderId="46" xfId="0" applyFont="1" applyFill="1" applyBorder="1" applyAlignment="1">
      <alignment horizontal="left" vertical="top" wrapText="1"/>
    </xf>
    <xf numFmtId="0" fontId="20" fillId="14" borderId="44" xfId="0" applyFont="1" applyFill="1" applyBorder="1" applyAlignment="1">
      <alignment horizontal="left" vertical="top" wrapText="1"/>
    </xf>
    <xf numFmtId="0" fontId="18" fillId="11" borderId="41"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18" fillId="11" borderId="44" xfId="0" applyFont="1" applyFill="1" applyBorder="1" applyAlignment="1">
      <alignment horizontal="center" vertical="center" wrapText="1"/>
    </xf>
    <xf numFmtId="0" fontId="19" fillId="2" borderId="36" xfId="0" applyFont="1" applyFill="1" applyBorder="1" applyAlignment="1">
      <alignment horizontal="right" vertical="top"/>
    </xf>
    <xf numFmtId="0" fontId="19" fillId="2" borderId="45" xfId="0" applyFont="1" applyFill="1" applyBorder="1" applyAlignment="1">
      <alignment horizontal="right" vertical="top"/>
    </xf>
    <xf numFmtId="0" fontId="19" fillId="2" borderId="34" xfId="0" applyFont="1" applyFill="1" applyBorder="1" applyAlignment="1">
      <alignment horizontal="right" vertical="top"/>
    </xf>
    <xf numFmtId="0" fontId="19" fillId="0" borderId="6" xfId="0" applyFont="1" applyBorder="1" applyAlignment="1">
      <alignment horizontal="justify" vertical="center" wrapText="1"/>
    </xf>
    <xf numFmtId="0" fontId="21" fillId="11" borderId="25" xfId="0" applyFont="1" applyFill="1" applyBorder="1" applyAlignment="1">
      <alignment horizontal="left" vertical="top" wrapText="1"/>
    </xf>
    <xf numFmtId="0" fontId="21" fillId="11" borderId="46" xfId="0" applyFont="1" applyFill="1" applyBorder="1" applyAlignment="1">
      <alignment horizontal="left" vertical="top" wrapText="1"/>
    </xf>
    <xf numFmtId="0" fontId="21" fillId="11" borderId="44" xfId="0" applyFont="1" applyFill="1" applyBorder="1" applyAlignment="1">
      <alignment horizontal="left" vertical="top" wrapText="1"/>
    </xf>
    <xf numFmtId="0" fontId="19" fillId="0" borderId="0" xfId="0" applyFont="1" applyAlignment="1">
      <alignment horizontal="center" vertical="center" wrapText="1"/>
    </xf>
    <xf numFmtId="166" fontId="18" fillId="11" borderId="41" xfId="4" applyNumberFormat="1" applyFont="1" applyFill="1" applyBorder="1" applyAlignment="1">
      <alignment horizontal="center" vertical="center" wrapText="1"/>
    </xf>
    <xf numFmtId="0" fontId="19" fillId="0" borderId="6" xfId="0" applyFont="1" applyBorder="1" applyAlignment="1">
      <alignment vertical="center"/>
    </xf>
    <xf numFmtId="0" fontId="24" fillId="0" borderId="0" xfId="0" applyFont="1" applyAlignment="1">
      <alignment horizontal="center"/>
    </xf>
    <xf numFmtId="0" fontId="39" fillId="11" borderId="28" xfId="0" applyFont="1" applyFill="1" applyBorder="1" applyAlignment="1">
      <alignment horizontal="right" vertical="center" wrapText="1"/>
    </xf>
    <xf numFmtId="0" fontId="39" fillId="11" borderId="29" xfId="0" applyFont="1" applyFill="1" applyBorder="1" applyAlignment="1">
      <alignment horizontal="right" vertical="center" wrapText="1"/>
    </xf>
    <xf numFmtId="0" fontId="39" fillId="11" borderId="61" xfId="0" applyFont="1" applyFill="1" applyBorder="1" applyAlignment="1">
      <alignment horizontal="right" vertical="center" wrapText="1"/>
    </xf>
    <xf numFmtId="0" fontId="42" fillId="11" borderId="28" xfId="0" applyFont="1" applyFill="1" applyBorder="1" applyAlignment="1">
      <alignment horizontal="right" vertical="center" wrapText="1"/>
    </xf>
    <xf numFmtId="0" fontId="42" fillId="11" borderId="29" xfId="0" applyFont="1" applyFill="1" applyBorder="1" applyAlignment="1">
      <alignment horizontal="right" vertical="center" wrapText="1"/>
    </xf>
    <xf numFmtId="0" fontId="42" fillId="11" borderId="61" xfId="0" applyFont="1" applyFill="1" applyBorder="1" applyAlignment="1">
      <alignment horizontal="right" vertical="center" wrapText="1"/>
    </xf>
    <xf numFmtId="0" fontId="43" fillId="0" borderId="62" xfId="0" applyFont="1" applyBorder="1" applyAlignment="1">
      <alignment horizontal="left" vertical="center" wrapText="1"/>
    </xf>
    <xf numFmtId="0" fontId="33" fillId="11" borderId="52" xfId="0" applyFont="1" applyFill="1" applyBorder="1" applyAlignment="1">
      <alignment horizontal="right" vertical="center" wrapText="1"/>
    </xf>
    <xf numFmtId="0" fontId="33" fillId="11" borderId="53" xfId="0" applyFont="1" applyFill="1" applyBorder="1" applyAlignment="1">
      <alignment horizontal="right"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3" xfId="0" applyFont="1" applyBorder="1" applyAlignment="1">
      <alignment horizontal="center" vertical="center" wrapText="1"/>
    </xf>
    <xf numFmtId="0" fontId="33" fillId="11" borderId="48" xfId="0" applyFont="1" applyFill="1" applyBorder="1" applyAlignment="1">
      <alignment horizontal="center" vertical="center" wrapText="1"/>
    </xf>
    <xf numFmtId="0" fontId="33" fillId="11" borderId="49" xfId="0" applyFont="1" applyFill="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31" fillId="0" borderId="0" xfId="0" applyFont="1" applyAlignment="1">
      <alignment horizontal="center" vertical="center" wrapText="1"/>
    </xf>
    <xf numFmtId="0" fontId="32" fillId="0" borderId="10" xfId="0" applyFont="1" applyFill="1" applyBorder="1" applyAlignment="1">
      <alignment horizontal="center" vertical="center" wrapText="1"/>
    </xf>
    <xf numFmtId="0" fontId="32" fillId="0" borderId="11" xfId="0" applyFont="1" applyBorder="1" applyAlignment="1">
      <alignment horizontal="justify" vertical="center" wrapText="1"/>
    </xf>
    <xf numFmtId="0" fontId="32" fillId="0" borderId="10" xfId="0" applyFont="1" applyBorder="1" applyAlignment="1">
      <alignment horizontal="justify" vertical="center" wrapText="1"/>
    </xf>
    <xf numFmtId="0" fontId="32" fillId="0" borderId="20" xfId="0" applyFont="1" applyBorder="1" applyAlignment="1">
      <alignment horizontal="justify" vertical="center" wrapText="1"/>
    </xf>
    <xf numFmtId="0" fontId="35"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2" fillId="0" borderId="1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0" xfId="0" applyFont="1" applyBorder="1" applyAlignment="1">
      <alignment horizontal="left" vertical="center" wrapText="1"/>
    </xf>
    <xf numFmtId="0" fontId="32" fillId="0" borderId="8" xfId="0" applyFont="1" applyBorder="1" applyAlignment="1">
      <alignment horizontal="justify" vertical="center" wrapText="1"/>
    </xf>
    <xf numFmtId="0" fontId="29" fillId="0" borderId="0" xfId="0" applyFont="1" applyBorder="1" applyAlignment="1">
      <alignment horizontal="right" vertical="center"/>
    </xf>
    <xf numFmtId="0" fontId="33" fillId="11" borderId="55" xfId="0" applyFont="1" applyFill="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44" fillId="0" borderId="12" xfId="0" applyFont="1" applyBorder="1" applyAlignment="1">
      <alignment vertical="top" wrapText="1"/>
    </xf>
    <xf numFmtId="0" fontId="44" fillId="0" borderId="14" xfId="0" applyFont="1" applyBorder="1" applyAlignment="1">
      <alignment vertical="top" wrapText="1"/>
    </xf>
    <xf numFmtId="0" fontId="44" fillId="0" borderId="13" xfId="0" applyFont="1" applyBorder="1" applyAlignment="1">
      <alignment vertical="top" wrapText="1"/>
    </xf>
    <xf numFmtId="3" fontId="44" fillId="10" borderId="12" xfId="0" applyNumberFormat="1" applyFont="1" applyFill="1" applyBorder="1" applyAlignment="1">
      <alignment vertical="top" wrapText="1"/>
    </xf>
    <xf numFmtId="3" fontId="44" fillId="10" borderId="14" xfId="0" applyNumberFormat="1" applyFont="1" applyFill="1" applyBorder="1" applyAlignment="1">
      <alignment vertical="top" wrapText="1"/>
    </xf>
    <xf numFmtId="0" fontId="44" fillId="10" borderId="12" xfId="0" applyFont="1" applyFill="1" applyBorder="1" applyAlignment="1">
      <alignment vertical="top" wrapText="1"/>
    </xf>
    <xf numFmtId="0" fontId="44" fillId="10" borderId="14" xfId="0" applyFont="1" applyFill="1" applyBorder="1" applyAlignment="1">
      <alignment vertical="top" wrapText="1"/>
    </xf>
    <xf numFmtId="0" fontId="0" fillId="0" borderId="0" xfId="0" applyAlignment="1">
      <alignment horizontal="center"/>
    </xf>
    <xf numFmtId="0" fontId="0" fillId="0" borderId="0" xfId="0" applyAlignment="1">
      <alignment horizontal="center" vertical="center" wrapText="1"/>
    </xf>
    <xf numFmtId="165" fontId="9" fillId="14" borderId="4" xfId="3" applyNumberFormat="1" applyFont="1" applyFill="1" applyBorder="1" applyAlignment="1">
      <alignment horizontal="center" vertical="center" wrapText="1"/>
    </xf>
    <xf numFmtId="0" fontId="48" fillId="0" borderId="4" xfId="0" applyFont="1" applyBorder="1" applyAlignment="1">
      <alignment horizontal="left" vertical="top" wrapText="1"/>
    </xf>
    <xf numFmtId="0" fontId="48" fillId="0" borderId="4" xfId="0" applyFont="1" applyBorder="1" applyAlignment="1">
      <alignment horizontal="left" vertical="top"/>
    </xf>
    <xf numFmtId="165" fontId="48" fillId="0" borderId="4" xfId="3" applyNumberFormat="1" applyFont="1" applyBorder="1" applyAlignment="1">
      <alignment horizontal="center" vertical="center"/>
    </xf>
    <xf numFmtId="166" fontId="48" fillId="0" borderId="4" xfId="4" applyNumberFormat="1" applyFont="1" applyBorder="1" applyAlignment="1">
      <alignment vertical="top"/>
    </xf>
    <xf numFmtId="165" fontId="48" fillId="2" borderId="1" xfId="3" applyNumberFormat="1" applyFont="1" applyFill="1" applyBorder="1" applyAlignment="1">
      <alignment horizontal="center" vertical="center"/>
    </xf>
    <xf numFmtId="0" fontId="9" fillId="14" borderId="25" xfId="0" applyFont="1" applyFill="1" applyBorder="1" applyAlignment="1">
      <alignment horizontal="left" vertical="top" wrapText="1"/>
    </xf>
    <xf numFmtId="0" fontId="9" fillId="14" borderId="46" xfId="0" applyFont="1" applyFill="1" applyBorder="1" applyAlignment="1">
      <alignment horizontal="left" vertical="top" wrapText="1"/>
    </xf>
    <xf numFmtId="0" fontId="9" fillId="14" borderId="44" xfId="0" applyFont="1" applyFill="1" applyBorder="1" applyAlignment="1">
      <alignment horizontal="left" vertical="top" wrapText="1"/>
    </xf>
    <xf numFmtId="166" fontId="9" fillId="14" borderId="4" xfId="4" applyNumberFormat="1" applyFont="1" applyFill="1" applyBorder="1" applyAlignment="1">
      <alignment vertical="top"/>
    </xf>
    <xf numFmtId="0" fontId="48" fillId="0" borderId="4" xfId="0" applyFont="1" applyBorder="1" applyAlignment="1">
      <alignment horizontal="left" vertical="center" wrapText="1"/>
    </xf>
    <xf numFmtId="0" fontId="48" fillId="0" borderId="4" xfId="0" applyFont="1" applyFill="1" applyBorder="1" applyAlignment="1">
      <alignment horizontal="left" vertical="center"/>
    </xf>
    <xf numFmtId="165" fontId="48" fillId="2" borderId="4" xfId="3" applyNumberFormat="1" applyFont="1" applyFill="1" applyBorder="1" applyAlignment="1">
      <alignment horizontal="center" vertical="center"/>
    </xf>
    <xf numFmtId="0" fontId="48" fillId="2" borderId="4" xfId="0" applyFont="1" applyFill="1" applyBorder="1" applyAlignment="1">
      <alignment horizontal="left" vertical="center" wrapText="1"/>
    </xf>
    <xf numFmtId="166" fontId="48" fillId="14" borderId="4" xfId="4" applyNumberFormat="1" applyFont="1" applyFill="1" applyBorder="1" applyAlignment="1">
      <alignment vertical="top"/>
    </xf>
    <xf numFmtId="0" fontId="9" fillId="14" borderId="25" xfId="0" applyFont="1" applyFill="1" applyBorder="1" applyAlignment="1">
      <alignment horizontal="left" wrapText="1"/>
    </xf>
    <xf numFmtId="0" fontId="9" fillId="14" borderId="46" xfId="0" applyFont="1" applyFill="1" applyBorder="1" applyAlignment="1">
      <alignment horizontal="left" wrapText="1"/>
    </xf>
    <xf numFmtId="0" fontId="9" fillId="14" borderId="44" xfId="0" applyFont="1" applyFill="1" applyBorder="1" applyAlignment="1">
      <alignment horizontal="left" wrapText="1"/>
    </xf>
    <xf numFmtId="0" fontId="48" fillId="0" borderId="4" xfId="0" applyFont="1" applyFill="1" applyBorder="1" applyAlignment="1">
      <alignment horizontal="left" vertical="top"/>
    </xf>
    <xf numFmtId="166" fontId="48" fillId="2" borderId="4" xfId="4" applyNumberFormat="1" applyFont="1" applyFill="1" applyBorder="1" applyAlignment="1">
      <alignment vertical="top"/>
    </xf>
    <xf numFmtId="0" fontId="9" fillId="14" borderId="25" xfId="0" applyFont="1" applyFill="1" applyBorder="1" applyAlignment="1">
      <alignment horizontal="left" vertical="center" wrapText="1"/>
    </xf>
    <xf numFmtId="0" fontId="9" fillId="14" borderId="46" xfId="0" applyFont="1" applyFill="1" applyBorder="1" applyAlignment="1">
      <alignment horizontal="left" vertical="center" wrapText="1"/>
    </xf>
    <xf numFmtId="0" fontId="9" fillId="14" borderId="44" xfId="0" applyFont="1" applyFill="1" applyBorder="1" applyAlignment="1">
      <alignment horizontal="left" vertical="center" wrapText="1"/>
    </xf>
    <xf numFmtId="0" fontId="48" fillId="0" borderId="4" xfId="0" applyFont="1" applyBorder="1" applyAlignment="1">
      <alignment horizontal="left" vertical="center"/>
    </xf>
    <xf numFmtId="0" fontId="47" fillId="11" borderId="4" xfId="0" applyFont="1" applyFill="1" applyBorder="1" applyAlignment="1">
      <alignment horizontal="left" vertical="center" wrapText="1"/>
    </xf>
    <xf numFmtId="0" fontId="47" fillId="11" borderId="4" xfId="0" applyFont="1" applyFill="1" applyBorder="1" applyAlignment="1">
      <alignment horizontal="left" vertical="center"/>
    </xf>
    <xf numFmtId="165" fontId="47" fillId="11" borderId="4" xfId="3" applyNumberFormat="1" applyFont="1" applyFill="1" applyBorder="1" applyAlignment="1">
      <alignment horizontal="center" vertical="center"/>
    </xf>
    <xf numFmtId="166" fontId="47" fillId="11" borderId="4" xfId="4" applyNumberFormat="1" applyFont="1" applyFill="1" applyBorder="1" applyAlignment="1">
      <alignment vertical="top"/>
    </xf>
    <xf numFmtId="0" fontId="49" fillId="14" borderId="4" xfId="0" applyFont="1" applyFill="1" applyBorder="1" applyAlignment="1">
      <alignment horizontal="left" vertical="center" wrapText="1"/>
    </xf>
    <xf numFmtId="0" fontId="48" fillId="14" borderId="4" xfId="0" applyFont="1" applyFill="1" applyBorder="1" applyAlignment="1">
      <alignment horizontal="center" vertical="center" wrapText="1"/>
    </xf>
    <xf numFmtId="165" fontId="49" fillId="14" borderId="4" xfId="3" applyNumberFormat="1" applyFont="1" applyFill="1" applyBorder="1" applyAlignment="1">
      <alignment horizontal="center" vertical="center" wrapText="1"/>
    </xf>
    <xf numFmtId="9" fontId="48" fillId="14" borderId="4" xfId="5" applyFont="1" applyFill="1" applyBorder="1" applyAlignment="1">
      <alignment vertical="top"/>
    </xf>
    <xf numFmtId="0" fontId="48" fillId="14" borderId="4" xfId="0" applyFont="1" applyFill="1" applyBorder="1" applyAlignment="1">
      <alignment horizontal="left" vertical="center" wrapText="1"/>
    </xf>
    <xf numFmtId="0" fontId="48" fillId="14" borderId="4" xfId="0" applyFont="1" applyFill="1" applyBorder="1" applyAlignment="1">
      <alignment horizontal="left" vertical="center"/>
    </xf>
    <xf numFmtId="165" fontId="48" fillId="14" borderId="4" xfId="3" applyNumberFormat="1" applyFont="1" applyFill="1" applyBorder="1" applyAlignment="1">
      <alignment horizontal="center" vertical="center"/>
    </xf>
    <xf numFmtId="0" fontId="9" fillId="14" borderId="4" xfId="0" applyFont="1" applyFill="1" applyBorder="1" applyAlignment="1">
      <alignment horizontal="left" vertical="center" wrapText="1"/>
    </xf>
    <xf numFmtId="0" fontId="48" fillId="14" borderId="4" xfId="0" applyFont="1" applyFill="1" applyBorder="1"/>
    <xf numFmtId="0" fontId="48" fillId="14" borderId="0" xfId="0" applyFont="1" applyFill="1"/>
    <xf numFmtId="43" fontId="48" fillId="14" borderId="4" xfId="4" applyFont="1" applyFill="1" applyBorder="1" applyAlignment="1">
      <alignment vertical="top"/>
    </xf>
    <xf numFmtId="0" fontId="49" fillId="11" borderId="0" xfId="0" applyFont="1" applyFill="1"/>
    <xf numFmtId="166" fontId="49" fillId="11" borderId="4" xfId="4" applyNumberFormat="1" applyFont="1" applyFill="1" applyBorder="1" applyAlignment="1">
      <alignment vertical="top"/>
    </xf>
    <xf numFmtId="0" fontId="9" fillId="14" borderId="4" xfId="0" applyFont="1" applyFill="1" applyBorder="1" applyAlignment="1">
      <alignment horizontal="left" vertical="center"/>
    </xf>
    <xf numFmtId="165" fontId="9" fillId="14" borderId="4" xfId="3" applyNumberFormat="1" applyFont="1" applyFill="1" applyBorder="1" applyAlignment="1">
      <alignment horizontal="center" vertical="center"/>
    </xf>
    <xf numFmtId="9" fontId="9" fillId="14" borderId="4" xfId="5" applyFont="1" applyFill="1" applyBorder="1" applyAlignment="1">
      <alignment vertical="top"/>
    </xf>
    <xf numFmtId="166" fontId="9" fillId="17" borderId="4" xfId="4" applyNumberFormat="1" applyFont="1" applyFill="1" applyBorder="1" applyAlignment="1">
      <alignment horizontal="center" vertical="top" wrapText="1"/>
    </xf>
    <xf numFmtId="0" fontId="49" fillId="11" borderId="4" xfId="0" applyFont="1" applyFill="1" applyBorder="1" applyAlignment="1">
      <alignment horizontal="left" vertical="center"/>
    </xf>
    <xf numFmtId="165" fontId="49" fillId="11" borderId="4" xfId="3" applyNumberFormat="1" applyFont="1" applyFill="1" applyBorder="1" applyAlignment="1">
      <alignment horizontal="center" vertical="center"/>
    </xf>
    <xf numFmtId="166" fontId="9" fillId="17" borderId="44" xfId="4" applyNumberFormat="1" applyFont="1" applyFill="1" applyBorder="1" applyAlignment="1">
      <alignment horizontal="center" vertical="top" wrapText="1"/>
    </xf>
    <xf numFmtId="166" fontId="9" fillId="14" borderId="4" xfId="4" applyNumberFormat="1" applyFont="1" applyFill="1" applyBorder="1" applyAlignment="1">
      <alignment horizontal="center" vertical="center" wrapText="1"/>
    </xf>
    <xf numFmtId="166" fontId="9" fillId="14" borderId="4" xfId="4" applyNumberFormat="1" applyFont="1" applyFill="1" applyBorder="1" applyAlignment="1">
      <alignment horizontal="center" vertical="center"/>
    </xf>
    <xf numFmtId="0" fontId="9" fillId="14" borderId="4" xfId="0" applyFont="1" applyFill="1" applyBorder="1" applyAlignment="1">
      <alignment horizontal="center" vertical="center" wrapText="1"/>
    </xf>
    <xf numFmtId="166" fontId="9" fillId="14" borderId="25" xfId="4" applyNumberFormat="1" applyFont="1" applyFill="1" applyBorder="1" applyAlignment="1">
      <alignment horizontal="left" vertical="top" wrapText="1"/>
    </xf>
    <xf numFmtId="166" fontId="9" fillId="14" borderId="46" xfId="4" applyNumberFormat="1" applyFont="1" applyFill="1" applyBorder="1" applyAlignment="1">
      <alignment horizontal="left" vertical="top" wrapText="1"/>
    </xf>
    <xf numFmtId="166" fontId="9" fillId="14" borderId="44" xfId="4" applyNumberFormat="1" applyFont="1" applyFill="1" applyBorder="1" applyAlignment="1">
      <alignment horizontal="left" vertical="top" wrapText="1"/>
    </xf>
    <xf numFmtId="0" fontId="50" fillId="11" borderId="41" xfId="0" applyFont="1" applyFill="1" applyBorder="1" applyAlignment="1">
      <alignment horizontal="center" vertical="center" wrapText="1"/>
    </xf>
    <xf numFmtId="0" fontId="50" fillId="11" borderId="0"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49" fillId="14" borderId="4" xfId="0" applyFont="1" applyFill="1" applyBorder="1" applyAlignment="1">
      <alignment horizontal="center" vertical="center" wrapText="1"/>
    </xf>
    <xf numFmtId="166" fontId="9" fillId="14" borderId="4" xfId="4" applyNumberFormat="1" applyFont="1" applyFill="1" applyBorder="1" applyAlignment="1">
      <alignment horizontal="center" vertical="center" wrapText="1"/>
    </xf>
    <xf numFmtId="0" fontId="48" fillId="0" borderId="4" xfId="0" applyFont="1" applyBorder="1" applyAlignment="1">
      <alignment horizontal="center" vertical="center"/>
    </xf>
    <xf numFmtId="0" fontId="47" fillId="14" borderId="4" xfId="0" applyFont="1" applyFill="1" applyBorder="1" applyAlignment="1">
      <alignment horizontal="center" vertical="center" wrapText="1"/>
    </xf>
    <xf numFmtId="0" fontId="47" fillId="11" borderId="4" xfId="0" applyFont="1" applyFill="1" applyBorder="1" applyAlignment="1">
      <alignment horizontal="center" vertical="center"/>
    </xf>
    <xf numFmtId="0" fontId="48" fillId="14" borderId="4" xfId="0" applyFont="1" applyFill="1" applyBorder="1" applyAlignment="1">
      <alignment horizontal="center" vertical="center"/>
    </xf>
    <xf numFmtId="0" fontId="9" fillId="14" borderId="4" xfId="0" applyFont="1" applyFill="1" applyBorder="1" applyAlignment="1">
      <alignment horizontal="center" vertical="center"/>
    </xf>
    <xf numFmtId="0" fontId="49" fillId="11" borderId="4" xfId="0" applyFont="1" applyFill="1" applyBorder="1" applyAlignment="1">
      <alignment horizontal="center" vertical="center"/>
    </xf>
    <xf numFmtId="0" fontId="48" fillId="2" borderId="4" xfId="0" applyFont="1" applyFill="1" applyBorder="1" applyAlignment="1">
      <alignment horizontal="center" vertical="center" wrapText="1"/>
    </xf>
    <xf numFmtId="0" fontId="48" fillId="0" borderId="4" xfId="0" applyFont="1" applyBorder="1" applyAlignment="1">
      <alignment horizontal="center" vertical="center" wrapText="1"/>
    </xf>
    <xf numFmtId="0" fontId="47" fillId="11" borderId="4" xfId="0" applyFont="1" applyFill="1" applyBorder="1" applyAlignment="1">
      <alignment horizontal="center" vertical="center" wrapText="1"/>
    </xf>
    <xf numFmtId="0" fontId="49" fillId="11" borderId="0" xfId="0" applyFont="1" applyFill="1" applyAlignment="1">
      <alignment horizontal="center" vertical="center" wrapText="1"/>
    </xf>
    <xf numFmtId="9" fontId="9" fillId="14" borderId="4" xfId="0" applyNumberFormat="1" applyFont="1" applyFill="1" applyBorder="1" applyAlignment="1">
      <alignment horizontal="center" vertical="center" wrapText="1"/>
    </xf>
    <xf numFmtId="0" fontId="49" fillId="11" borderId="4" xfId="0" applyFont="1" applyFill="1" applyBorder="1" applyAlignment="1">
      <alignment horizontal="center" vertical="center" wrapText="1"/>
    </xf>
    <xf numFmtId="37" fontId="48" fillId="0" borderId="4" xfId="4" applyNumberFormat="1" applyFont="1" applyBorder="1" applyAlignment="1">
      <alignment horizontal="center" vertical="center" wrapText="1"/>
    </xf>
    <xf numFmtId="1" fontId="48" fillId="0" borderId="4" xfId="4" applyNumberFormat="1" applyFont="1" applyBorder="1" applyAlignment="1">
      <alignment horizontal="center" vertical="center" wrapText="1"/>
    </xf>
    <xf numFmtId="1" fontId="48" fillId="0" borderId="4" xfId="0" applyNumberFormat="1" applyFont="1" applyBorder="1" applyAlignment="1">
      <alignment horizontal="center" vertical="center" wrapText="1"/>
    </xf>
  </cellXfs>
  <cellStyles count="13">
    <cellStyle name="Hipervínculo" xfId="10" builtinId="8"/>
    <cellStyle name="Millares" xfId="4" builtinId="3"/>
    <cellStyle name="Millares [0] 2" xfId="8"/>
    <cellStyle name="Millares [0] 3" xfId="9"/>
    <cellStyle name="Millares 2" xfId="7"/>
    <cellStyle name="Moneda" xfId="3" builtinId="4"/>
    <cellStyle name="Moneda 2" xfId="2"/>
    <cellStyle name="Moneda 3" xfId="6"/>
    <cellStyle name="Normal" xfId="0" builtinId="0"/>
    <cellStyle name="Normal 2" xfId="1"/>
    <cellStyle name="Normal 3" xfId="11"/>
    <cellStyle name="Normal 7" xfId="12"/>
    <cellStyle name="Porcentaje" xfId="5" builtinId="5"/>
  </cellStyles>
  <dxfs count="0"/>
  <tableStyles count="0" defaultTableStyle="TableStyleMedium9" defaultPivotStyle="PivotStyleLight16"/>
  <colors>
    <mruColors>
      <color rgb="FFFFFF66"/>
      <color rgb="FFE6E3D2"/>
      <color rgb="FF99FFCC"/>
      <color rgb="FF33CCFF"/>
      <color rgb="FFCC99FF"/>
      <color rgb="FFCCCC00"/>
      <color rgb="FFFFCC66"/>
      <color rgb="FF6699FF"/>
      <color rgb="FF6666FF"/>
      <color rgb="FFFC9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178595"/>
          <a:ext cx="2226469" cy="852184"/>
        </a:xfrm>
        <a:prstGeom prst="rect">
          <a:avLst/>
        </a:prstGeom>
        <a:noFill/>
        <a:ln w="9525">
          <a:noFill/>
          <a:miter lim="800000"/>
          <a:headEnd/>
          <a:tailEnd/>
        </a:ln>
      </xdr:spPr>
    </xdr:pic>
    <xdr:clientData/>
  </xdr:twoCellAnchor>
  <xdr:twoCellAnchor>
    <xdr:from>
      <xdr:col>2</xdr:col>
      <xdr:colOff>394928</xdr:colOff>
      <xdr:row>62</xdr:row>
      <xdr:rowOff>41015</xdr:rowOff>
    </xdr:from>
    <xdr:to>
      <xdr:col>8</xdr:col>
      <xdr:colOff>113221</xdr:colOff>
      <xdr:row>79</xdr:row>
      <xdr:rowOff>163286</xdr:rowOff>
    </xdr:to>
    <xdr:sp macro="" textlink="">
      <xdr:nvSpPr>
        <xdr:cNvPr id="3" name="2 CuadroTexto"/>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369095"/>
          <a:ext cx="2215923" cy="837896"/>
        </a:xfrm>
        <a:prstGeom prst="rect">
          <a:avLst/>
        </a:prstGeom>
        <a:noFill/>
        <a:ln w="9525">
          <a:noFill/>
          <a:miter lim="800000"/>
          <a:headEnd/>
          <a:tailEnd/>
        </a:ln>
      </xdr:spPr>
    </xdr:pic>
    <xdr:clientData/>
  </xdr:twoCellAnchor>
  <xdr:twoCellAnchor>
    <xdr:from>
      <xdr:col>2</xdr:col>
      <xdr:colOff>394928</xdr:colOff>
      <xdr:row>63</xdr:row>
      <xdr:rowOff>41015</xdr:rowOff>
    </xdr:from>
    <xdr:to>
      <xdr:col>8</xdr:col>
      <xdr:colOff>113221</xdr:colOff>
      <xdr:row>80</xdr:row>
      <xdr:rowOff>163286</xdr:rowOff>
    </xdr:to>
    <xdr:sp macro="" textlink="">
      <xdr:nvSpPr>
        <xdr:cNvPr id="3" name="2 CuadroTexto"/>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4514850</xdr:colOff>
      <xdr:row>79</xdr:row>
      <xdr:rowOff>58420</xdr:rowOff>
    </xdr:from>
    <xdr:to>
      <xdr:col>2</xdr:col>
      <xdr:colOff>419100</xdr:colOff>
      <xdr:row>86</xdr:row>
      <xdr:rowOff>47624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0150" y="11974195"/>
          <a:ext cx="1438275" cy="11226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93</xdr:row>
      <xdr:rowOff>0</xdr:rowOff>
    </xdr:from>
    <xdr:to>
      <xdr:col>6</xdr:col>
      <xdr:colOff>1047750</xdr:colOff>
      <xdr:row>145</xdr:row>
      <xdr:rowOff>152400</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495300" y="40433625"/>
          <a:ext cx="13716000" cy="8572500"/>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396352</xdr:colOff>
      <xdr:row>87</xdr:row>
      <xdr:rowOff>32494</xdr:rowOff>
    </xdr:from>
    <xdr:to>
      <xdr:col>4</xdr:col>
      <xdr:colOff>816717</xdr:colOff>
      <xdr:row>100</xdr:row>
      <xdr:rowOff>44650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5677" y="39551719"/>
          <a:ext cx="2744465" cy="21171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137584</xdr:colOff>
      <xdr:row>0</xdr:row>
      <xdr:rowOff>63499</xdr:rowOff>
    </xdr:from>
    <xdr:to>
      <xdr:col>2</xdr:col>
      <xdr:colOff>486833</xdr:colOff>
      <xdr:row>2</xdr:row>
      <xdr:rowOff>172194</xdr:rowOff>
    </xdr:to>
    <xdr:pic>
      <xdr:nvPicPr>
        <xdr:cNvPr id="2" name="Picture 70"/>
        <xdr:cNvPicPr>
          <a:picLocks noChangeAspect="1" noChangeArrowheads="1"/>
        </xdr:cNvPicPr>
      </xdr:nvPicPr>
      <xdr:blipFill>
        <a:blip xmlns:r="http://schemas.openxmlformats.org/officeDocument/2006/relationships" r:embed="rId1" cstate="print"/>
        <a:srcRect/>
        <a:stretch>
          <a:fillRect/>
        </a:stretch>
      </xdr:blipFill>
      <xdr:spPr bwMode="auto">
        <a:xfrm>
          <a:off x="909109" y="63499"/>
          <a:ext cx="1196974" cy="46112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de%20compras%20migrado%2018%20oct%20201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rtega/Documents/2016/LICITACION/LICITACION/COMUNICACIONES/Cotizaciones/Solicitud%20cotizacion%20feb%2004_optim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rtega/Downloads/Copia%20de%20Estudio%20de%20mercad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row r="2">
          <cell r="D2" t="str">
            <v>SELECCIÓN DIRECTA</v>
          </cell>
        </row>
      </sheetData>
      <sheetData sheetId="3">
        <row r="2">
          <cell r="B2" t="str">
            <v>Mantener canales de comunicacion usario</v>
          </cell>
        </row>
      </sheetData>
      <sheetData sheetId="4">
        <row r="5">
          <cell r="E5" t="str">
            <v>Junta directiva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SECOP_ALEJOY CARO"/>
      <sheetName val="Anexo"/>
      <sheetName val="C01_INICIAL"/>
      <sheetName val="CO2"/>
      <sheetName val="CO3"/>
      <sheetName val="CO4"/>
      <sheetName val="CO5"/>
      <sheetName val="CO1_MODIFICADA"/>
      <sheetName val="SECOP_CONIE"/>
      <sheetName val="ICFES"/>
      <sheetName val="OPTIMA 2015"/>
      <sheetName val="SECOP_C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C01"/>
      <sheetName val="CO2"/>
      <sheetName val="CO3"/>
      <sheetName val="CO4"/>
    </sheetNames>
    <sheetDataSet>
      <sheetData sheetId="0" refreshError="1"/>
      <sheetData sheetId="1" refreshError="1"/>
      <sheetData sheetId="2" refreshError="1"/>
      <sheetData sheetId="3"/>
      <sheetData sheetId="4" refreshError="1"/>
      <sheetData sheetId="5" refreshError="1"/>
      <sheetData sheetId="6">
        <row r="12">
          <cell r="F12">
            <v>29700000</v>
          </cell>
        </row>
        <row r="13">
          <cell r="F13">
            <v>29400000</v>
          </cell>
        </row>
        <row r="14">
          <cell r="F14">
            <v>7300000</v>
          </cell>
        </row>
        <row r="15">
          <cell r="F15">
            <v>5400000</v>
          </cell>
        </row>
        <row r="16">
          <cell r="F16">
            <v>21000000</v>
          </cell>
        </row>
        <row r="17">
          <cell r="F17">
            <v>14500000</v>
          </cell>
        </row>
        <row r="18">
          <cell r="F18">
            <v>15400000</v>
          </cell>
        </row>
        <row r="19">
          <cell r="F19">
            <v>21000000</v>
          </cell>
        </row>
        <row r="21">
          <cell r="F21">
            <v>5000000</v>
          </cell>
        </row>
        <row r="31">
          <cell r="F31">
            <v>650000</v>
          </cell>
        </row>
        <row r="32">
          <cell r="F32">
            <v>1300</v>
          </cell>
        </row>
        <row r="33">
          <cell r="F33">
            <v>2100000</v>
          </cell>
        </row>
        <row r="34">
          <cell r="F34">
            <v>1500000</v>
          </cell>
        </row>
        <row r="35">
          <cell r="F35">
            <v>1400000</v>
          </cell>
        </row>
        <row r="36">
          <cell r="F36">
            <v>600000</v>
          </cell>
        </row>
        <row r="37">
          <cell r="F37">
            <v>310</v>
          </cell>
        </row>
        <row r="38">
          <cell r="F38">
            <v>900000</v>
          </cell>
        </row>
        <row r="39">
          <cell r="F39">
            <v>360</v>
          </cell>
        </row>
        <row r="40">
          <cell r="F40">
            <v>1200000</v>
          </cell>
        </row>
        <row r="41">
          <cell r="F41">
            <v>360</v>
          </cell>
        </row>
        <row r="42">
          <cell r="F42">
            <v>3500</v>
          </cell>
        </row>
        <row r="43">
          <cell r="F43">
            <v>1800</v>
          </cell>
        </row>
        <row r="44">
          <cell r="F44">
            <v>800000</v>
          </cell>
        </row>
        <row r="45">
          <cell r="F45">
            <v>5400</v>
          </cell>
        </row>
        <row r="46">
          <cell r="F46">
            <v>775000</v>
          </cell>
        </row>
        <row r="47">
          <cell r="F47">
            <v>4000</v>
          </cell>
        </row>
        <row r="48">
          <cell r="F48">
            <v>650000</v>
          </cell>
        </row>
        <row r="49">
          <cell r="F49">
            <v>290000</v>
          </cell>
        </row>
        <row r="50">
          <cell r="F50">
            <v>650000</v>
          </cell>
        </row>
        <row r="51">
          <cell r="F51">
            <v>390000</v>
          </cell>
        </row>
        <row r="52">
          <cell r="F52">
            <v>730000</v>
          </cell>
        </row>
        <row r="53">
          <cell r="F53">
            <v>280000</v>
          </cell>
        </row>
        <row r="54">
          <cell r="F54">
            <v>730000</v>
          </cell>
        </row>
        <row r="55">
          <cell r="F55">
            <v>540000</v>
          </cell>
        </row>
        <row r="56">
          <cell r="F56">
            <v>790000</v>
          </cell>
        </row>
        <row r="57">
          <cell r="F57" t="str">
            <v>N/A</v>
          </cell>
        </row>
        <row r="58">
          <cell r="F58">
            <v>920000</v>
          </cell>
        </row>
        <row r="59">
          <cell r="F59" t="str">
            <v>N/A</v>
          </cell>
        </row>
        <row r="60">
          <cell r="F60">
            <v>920000</v>
          </cell>
        </row>
        <row r="61">
          <cell r="F61" t="str">
            <v>N/A</v>
          </cell>
        </row>
        <row r="67">
          <cell r="F67">
            <v>3200</v>
          </cell>
        </row>
        <row r="69">
          <cell r="F69">
            <v>1200000</v>
          </cell>
        </row>
        <row r="70">
          <cell r="F70">
            <v>270</v>
          </cell>
        </row>
        <row r="73">
          <cell r="F73">
            <v>2500000</v>
          </cell>
        </row>
        <row r="74">
          <cell r="F74">
            <v>2800</v>
          </cell>
        </row>
        <row r="75">
          <cell r="F75">
            <v>25000</v>
          </cell>
        </row>
        <row r="79">
          <cell r="F79">
            <v>3200000</v>
          </cell>
        </row>
        <row r="80">
          <cell r="F80">
            <v>15600000</v>
          </cell>
        </row>
        <row r="81">
          <cell r="F81">
            <v>900</v>
          </cell>
        </row>
        <row r="85">
          <cell r="F85">
            <v>100000000</v>
          </cell>
        </row>
        <row r="87">
          <cell r="F87">
            <v>35000000</v>
          </cell>
        </row>
      </sheetData>
      <sheetData sheetId="7" refreshError="1"/>
      <sheetData sheetId="8">
        <row r="12">
          <cell r="F12">
            <v>34800000</v>
          </cell>
        </row>
        <row r="13">
          <cell r="F13">
            <v>31320000</v>
          </cell>
        </row>
        <row r="14">
          <cell r="F14">
            <v>7888000</v>
          </cell>
        </row>
        <row r="15">
          <cell r="F15">
            <v>9280000</v>
          </cell>
        </row>
        <row r="16">
          <cell r="F16">
            <v>87000000</v>
          </cell>
        </row>
        <row r="17">
          <cell r="F17">
            <v>29000000</v>
          </cell>
        </row>
        <row r="18">
          <cell r="F18">
            <v>17400000</v>
          </cell>
        </row>
        <row r="19">
          <cell r="F19">
            <v>14160000</v>
          </cell>
        </row>
        <row r="21">
          <cell r="F21">
            <v>348000</v>
          </cell>
        </row>
        <row r="31">
          <cell r="F31">
            <v>796700</v>
          </cell>
        </row>
        <row r="32">
          <cell r="F32">
            <v>134.6</v>
          </cell>
        </row>
        <row r="33">
          <cell r="F33">
            <v>1849483</v>
          </cell>
        </row>
        <row r="34">
          <cell r="F34">
            <v>1223504</v>
          </cell>
        </row>
        <row r="35">
          <cell r="F35">
            <v>910514</v>
          </cell>
        </row>
        <row r="36">
          <cell r="F36">
            <v>1327835</v>
          </cell>
        </row>
        <row r="37">
          <cell r="F37">
            <v>169.36</v>
          </cell>
        </row>
        <row r="38">
          <cell r="F38">
            <v>1991753</v>
          </cell>
        </row>
        <row r="39">
          <cell r="F39">
            <v>563.76</v>
          </cell>
        </row>
        <row r="40">
          <cell r="F40">
            <v>2655671</v>
          </cell>
        </row>
        <row r="41">
          <cell r="F41">
            <v>350.32</v>
          </cell>
        </row>
        <row r="42">
          <cell r="F42">
            <v>1102</v>
          </cell>
        </row>
        <row r="43">
          <cell r="F43">
            <v>643886</v>
          </cell>
        </row>
        <row r="44">
          <cell r="F44">
            <v>368000</v>
          </cell>
        </row>
        <row r="45">
          <cell r="F45">
            <v>13200</v>
          </cell>
        </row>
        <row r="46">
          <cell r="F46">
            <v>5121648</v>
          </cell>
        </row>
        <row r="47">
          <cell r="F47">
            <v>2062.5</v>
          </cell>
        </row>
        <row r="48">
          <cell r="F48">
            <v>466639</v>
          </cell>
        </row>
        <row r="49">
          <cell r="F49">
            <v>191400</v>
          </cell>
        </row>
        <row r="50">
          <cell r="F50">
            <v>466639</v>
          </cell>
        </row>
        <row r="51">
          <cell r="F51">
            <v>425000</v>
          </cell>
        </row>
        <row r="52">
          <cell r="F52">
            <v>466639</v>
          </cell>
        </row>
        <row r="53">
          <cell r="F53">
            <v>87000</v>
          </cell>
        </row>
        <row r="54">
          <cell r="F54">
            <v>466639</v>
          </cell>
        </row>
        <row r="55">
          <cell r="F55">
            <v>174000</v>
          </cell>
        </row>
        <row r="56">
          <cell r="F56">
            <v>1079340</v>
          </cell>
        </row>
        <row r="57">
          <cell r="F57">
            <v>261000</v>
          </cell>
        </row>
        <row r="58">
          <cell r="F58">
            <v>1079340</v>
          </cell>
        </row>
        <row r="59">
          <cell r="F59">
            <v>174000</v>
          </cell>
        </row>
        <row r="60">
          <cell r="F60">
            <v>1079340</v>
          </cell>
        </row>
        <row r="61">
          <cell r="F61">
            <v>522000</v>
          </cell>
        </row>
        <row r="67">
          <cell r="F67">
            <v>4060</v>
          </cell>
        </row>
        <row r="69">
          <cell r="F69">
            <v>663917</v>
          </cell>
        </row>
        <row r="70">
          <cell r="F70">
            <v>223.88</v>
          </cell>
        </row>
        <row r="73">
          <cell r="F73">
            <v>360413</v>
          </cell>
        </row>
        <row r="74">
          <cell r="F74">
            <v>266.8</v>
          </cell>
        </row>
        <row r="75">
          <cell r="F75">
            <v>19662</v>
          </cell>
        </row>
        <row r="79">
          <cell r="F79">
            <v>35000000</v>
          </cell>
        </row>
        <row r="80">
          <cell r="F80">
            <v>235000000</v>
          </cell>
        </row>
        <row r="81">
          <cell r="F81">
            <v>500</v>
          </cell>
        </row>
        <row r="85">
          <cell r="F85">
            <v>96000000</v>
          </cell>
        </row>
        <row r="87">
          <cell r="F87">
            <v>11210000</v>
          </cell>
        </row>
      </sheetData>
      <sheetData sheetId="9">
        <row r="12">
          <cell r="F12">
            <v>14000000</v>
          </cell>
        </row>
        <row r="13">
          <cell r="F13">
            <v>12600000</v>
          </cell>
        </row>
        <row r="14">
          <cell r="F14">
            <v>15400000</v>
          </cell>
        </row>
        <row r="15">
          <cell r="F15">
            <v>18200000</v>
          </cell>
        </row>
        <row r="16">
          <cell r="F16">
            <v>23800000</v>
          </cell>
        </row>
        <row r="17">
          <cell r="F17">
            <v>26600000</v>
          </cell>
        </row>
        <row r="18">
          <cell r="F18">
            <v>4384800</v>
          </cell>
        </row>
        <row r="19">
          <cell r="F19">
            <v>8769600</v>
          </cell>
        </row>
        <row r="21">
          <cell r="F21">
            <v>252000</v>
          </cell>
        </row>
        <row r="31">
          <cell r="F31">
            <v>65650</v>
          </cell>
        </row>
        <row r="32">
          <cell r="F32">
            <v>137</v>
          </cell>
        </row>
        <row r="33">
          <cell r="F33">
            <v>814000</v>
          </cell>
        </row>
        <row r="34">
          <cell r="F34">
            <v>570500</v>
          </cell>
        </row>
        <row r="35">
          <cell r="F35">
            <v>360000</v>
          </cell>
        </row>
        <row r="36">
          <cell r="F36">
            <v>328900</v>
          </cell>
        </row>
        <row r="37">
          <cell r="F37">
            <v>218</v>
          </cell>
        </row>
        <row r="38">
          <cell r="F38">
            <v>575900</v>
          </cell>
        </row>
        <row r="39">
          <cell r="F39">
            <v>267</v>
          </cell>
        </row>
        <row r="40">
          <cell r="F40">
            <v>850000</v>
          </cell>
        </row>
        <row r="41">
          <cell r="F41">
            <v>270</v>
          </cell>
        </row>
        <row r="42">
          <cell r="F42">
            <v>1160</v>
          </cell>
        </row>
        <row r="43">
          <cell r="F43">
            <v>147500</v>
          </cell>
        </row>
        <row r="44">
          <cell r="F44">
            <v>226900</v>
          </cell>
        </row>
        <row r="45">
          <cell r="F45">
            <v>12700</v>
          </cell>
        </row>
        <row r="46">
          <cell r="F46">
            <v>415090</v>
          </cell>
        </row>
        <row r="47">
          <cell r="F47">
            <v>11050</v>
          </cell>
        </row>
        <row r="48">
          <cell r="F48">
            <v>355000</v>
          </cell>
        </row>
        <row r="49">
          <cell r="F49">
            <v>252000</v>
          </cell>
        </row>
        <row r="50">
          <cell r="F50">
            <v>161995</v>
          </cell>
        </row>
        <row r="51">
          <cell r="F51">
            <v>973000</v>
          </cell>
        </row>
        <row r="52">
          <cell r="F52">
            <v>511980</v>
          </cell>
        </row>
        <row r="53">
          <cell r="F53">
            <v>1540000</v>
          </cell>
        </row>
        <row r="54">
          <cell r="F54">
            <v>511980</v>
          </cell>
        </row>
        <row r="55">
          <cell r="F55">
            <v>1750000</v>
          </cell>
        </row>
        <row r="56">
          <cell r="F56">
            <v>675780</v>
          </cell>
        </row>
        <row r="57">
          <cell r="F57">
            <v>2380000</v>
          </cell>
        </row>
        <row r="58">
          <cell r="F58">
            <v>675780</v>
          </cell>
        </row>
        <row r="59">
          <cell r="F59">
            <v>4480000</v>
          </cell>
        </row>
        <row r="60">
          <cell r="F60">
            <v>675780</v>
          </cell>
        </row>
        <row r="61">
          <cell r="F61">
            <v>4760000</v>
          </cell>
        </row>
        <row r="67">
          <cell r="F67">
            <v>4900</v>
          </cell>
        </row>
        <row r="69">
          <cell r="F69">
            <v>476050</v>
          </cell>
        </row>
        <row r="70">
          <cell r="F70">
            <v>605</v>
          </cell>
        </row>
        <row r="73">
          <cell r="F73">
            <v>760725</v>
          </cell>
        </row>
        <row r="74">
          <cell r="F74">
            <v>372</v>
          </cell>
        </row>
        <row r="75">
          <cell r="F75">
            <v>31850</v>
          </cell>
        </row>
        <row r="79">
          <cell r="F79">
            <v>21890000</v>
          </cell>
        </row>
        <row r="80">
          <cell r="F80">
            <v>49000000</v>
          </cell>
        </row>
        <row r="81">
          <cell r="F81">
            <v>3000</v>
          </cell>
        </row>
        <row r="85">
          <cell r="F85">
            <v>95500000</v>
          </cell>
        </row>
        <row r="87">
          <cell r="F87">
            <v>8690000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hyperlink" Target="../../../../../../../../mmendez/Downloads/DA_PROCESO_14-13-2574065_133001000_10186573.pdf" TargetMode="External"/><Relationship Id="rId1" Type="http://schemas.openxmlformats.org/officeDocument/2006/relationships/hyperlink" Target="../../../../../../../../mmendez/Downloads/DA_PROCESO_12-13-1208708_225000001_5511867.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contratos.gov.co/consultas/detalleProceso.do?numConstancia=14-1-116903" TargetMode="External"/><Relationship Id="rId7" Type="http://schemas.openxmlformats.org/officeDocument/2006/relationships/hyperlink" Target="https://www.contratos.gov.co/consultas/detalleProceso.do?numConstancia=15-1-136964" TargetMode="External"/><Relationship Id="rId2" Type="http://schemas.openxmlformats.org/officeDocument/2006/relationships/hyperlink" Target="https://www.contratos.gov.co/consultas/detalleProceso.do?numConstancia=15-1-136712" TargetMode="External"/><Relationship Id="rId1" Type="http://schemas.openxmlformats.org/officeDocument/2006/relationships/hyperlink" Target="../../../../../../../../dbuitrago/Downloads/DA_PROCESO_15-11-4212798_01002025_16217272.pdf" TargetMode="External"/><Relationship Id="rId6" Type="http://schemas.openxmlformats.org/officeDocument/2006/relationships/hyperlink" Target="https://www.contratos.gov.co/consultas/detalleProceso.do?numConstancia=14-1-114899" TargetMode="External"/><Relationship Id="rId5" Type="http://schemas.openxmlformats.org/officeDocument/2006/relationships/hyperlink" Target="https://www.contratos.gov.co/consultas/detalleProceso.do?numConstancia=15-11-4413173" TargetMode="External"/><Relationship Id="rId4" Type="http://schemas.openxmlformats.org/officeDocument/2006/relationships/hyperlink" Target="https://www.contratos.gov.co/consultas/detalleProceso.do?numConstancia=14-1-1169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4"/>
  <sheetViews>
    <sheetView zoomScale="70" zoomScaleNormal="70" zoomScalePageLayoutView="70" workbookViewId="0">
      <pane ySplit="9" topLeftCell="A49" activePane="bottomLeft" state="frozen"/>
      <selection pane="bottomLeft" activeCell="S7" sqref="S7:S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445" t="s">
        <v>45</v>
      </c>
      <c r="B4" s="445"/>
      <c r="C4" s="445"/>
      <c r="D4" s="445"/>
      <c r="E4" s="445"/>
      <c r="F4" s="445"/>
      <c r="G4" s="445"/>
      <c r="H4" s="445"/>
      <c r="I4" s="445"/>
      <c r="J4" s="445"/>
      <c r="K4" s="445"/>
      <c r="L4" s="445"/>
      <c r="M4" s="445"/>
      <c r="N4" s="445"/>
      <c r="O4" s="445"/>
      <c r="P4" s="445"/>
      <c r="Q4" s="445"/>
      <c r="R4" s="445"/>
      <c r="S4" s="445"/>
      <c r="T4" s="445"/>
      <c r="U4" s="445"/>
      <c r="V4" s="445"/>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463" t="s">
        <v>57</v>
      </c>
      <c r="H7" s="464"/>
      <c r="I7" s="464"/>
      <c r="J7" s="465"/>
      <c r="K7" s="466" t="s">
        <v>58</v>
      </c>
      <c r="L7" s="467"/>
      <c r="M7" s="467"/>
      <c r="N7" s="468"/>
      <c r="O7" s="454" t="s">
        <v>59</v>
      </c>
      <c r="P7" s="455"/>
      <c r="Q7" s="455"/>
      <c r="R7" s="455"/>
      <c r="S7" s="446" t="s">
        <v>60</v>
      </c>
      <c r="T7" s="446" t="s">
        <v>42</v>
      </c>
      <c r="U7" s="469" t="s">
        <v>43</v>
      </c>
      <c r="V7" s="446" t="s">
        <v>44</v>
      </c>
    </row>
    <row r="8" spans="1:22" s="5" customFormat="1" ht="15" customHeight="1" x14ac:dyDescent="0.25">
      <c r="A8" s="505" t="s">
        <v>0</v>
      </c>
      <c r="B8" s="505" t="s">
        <v>24</v>
      </c>
      <c r="C8" s="505" t="s">
        <v>1</v>
      </c>
      <c r="D8" s="505" t="s">
        <v>8</v>
      </c>
      <c r="E8" s="505" t="s">
        <v>12</v>
      </c>
      <c r="F8" s="507" t="s">
        <v>13</v>
      </c>
      <c r="G8" s="513" t="s">
        <v>2</v>
      </c>
      <c r="H8" s="511" t="s">
        <v>11</v>
      </c>
      <c r="I8" s="501" t="s">
        <v>39</v>
      </c>
      <c r="J8" s="509" t="s">
        <v>40</v>
      </c>
      <c r="K8" s="503" t="s">
        <v>2</v>
      </c>
      <c r="L8" s="499" t="s">
        <v>11</v>
      </c>
      <c r="M8" s="487" t="s">
        <v>39</v>
      </c>
      <c r="N8" s="488" t="s">
        <v>40</v>
      </c>
      <c r="O8" s="456" t="s">
        <v>2</v>
      </c>
      <c r="P8" s="458" t="s">
        <v>11</v>
      </c>
      <c r="Q8" s="460" t="s">
        <v>39</v>
      </c>
      <c r="R8" s="461" t="s">
        <v>40</v>
      </c>
      <c r="S8" s="447"/>
      <c r="T8" s="447"/>
      <c r="U8" s="470"/>
      <c r="V8" s="447"/>
    </row>
    <row r="9" spans="1:22" s="5" customFormat="1" ht="48" customHeight="1" thickBot="1" x14ac:dyDescent="0.3">
      <c r="A9" s="506"/>
      <c r="B9" s="506"/>
      <c r="C9" s="506"/>
      <c r="D9" s="506"/>
      <c r="E9" s="506"/>
      <c r="F9" s="508"/>
      <c r="G9" s="514"/>
      <c r="H9" s="512"/>
      <c r="I9" s="502"/>
      <c r="J9" s="510"/>
      <c r="K9" s="504"/>
      <c r="L9" s="500"/>
      <c r="M9" s="487"/>
      <c r="N9" s="489"/>
      <c r="O9" s="457"/>
      <c r="P9" s="459"/>
      <c r="Q9" s="460"/>
      <c r="R9" s="462"/>
      <c r="S9" s="448"/>
      <c r="T9" s="448"/>
      <c r="U9" s="471"/>
      <c r="V9" s="448"/>
    </row>
    <row r="10" spans="1:22" ht="45" x14ac:dyDescent="0.25">
      <c r="A10" s="528">
        <v>1</v>
      </c>
      <c r="B10" s="531"/>
      <c r="C10" s="531" t="s">
        <v>17</v>
      </c>
      <c r="D10" s="23" t="s">
        <v>3</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449">
        <f>SUM(S10:S20)</f>
        <v>74511092</v>
      </c>
      <c r="U10" s="472">
        <v>1</v>
      </c>
      <c r="V10" s="449">
        <f>+U10*T10</f>
        <v>74511092</v>
      </c>
    </row>
    <row r="11" spans="1:22" ht="90" customHeight="1" x14ac:dyDescent="0.25">
      <c r="A11" s="529"/>
      <c r="B11" s="532"/>
      <c r="C11" s="532"/>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450"/>
      <c r="U11" s="473"/>
      <c r="V11" s="450"/>
    </row>
    <row r="12" spans="1:22" ht="60" x14ac:dyDescent="0.25">
      <c r="A12" s="529"/>
      <c r="B12" s="532"/>
      <c r="C12" s="532"/>
      <c r="D12" s="31" t="s">
        <v>19</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450"/>
      <c r="U12" s="473"/>
      <c r="V12" s="450"/>
    </row>
    <row r="13" spans="1:22" ht="90" x14ac:dyDescent="0.25">
      <c r="A13" s="529"/>
      <c r="B13" s="532"/>
      <c r="C13" s="532"/>
      <c r="D13" s="31" t="s">
        <v>18</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450"/>
      <c r="U13" s="473"/>
      <c r="V13" s="450"/>
    </row>
    <row r="14" spans="1:22" ht="75" x14ac:dyDescent="0.25">
      <c r="A14" s="529"/>
      <c r="B14" s="532"/>
      <c r="C14" s="532"/>
      <c r="D14" s="32" t="s">
        <v>21</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450"/>
      <c r="U14" s="473"/>
      <c r="V14" s="450"/>
    </row>
    <row r="15" spans="1:22" ht="75" x14ac:dyDescent="0.25">
      <c r="A15" s="529"/>
      <c r="B15" s="532"/>
      <c r="C15" s="532"/>
      <c r="D15" s="33" t="s">
        <v>38</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450"/>
      <c r="U15" s="473"/>
      <c r="V15" s="450"/>
    </row>
    <row r="16" spans="1:22" ht="150" x14ac:dyDescent="0.25">
      <c r="A16" s="529"/>
      <c r="B16" s="532"/>
      <c r="C16" s="532"/>
      <c r="D16" s="27" t="s">
        <v>36</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450"/>
      <c r="U16" s="473"/>
      <c r="V16" s="450"/>
    </row>
    <row r="17" spans="1:22" ht="30" x14ac:dyDescent="0.25">
      <c r="A17" s="529"/>
      <c r="B17" s="532"/>
      <c r="C17" s="532"/>
      <c r="D17" s="34" t="s">
        <v>4</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450"/>
      <c r="U17" s="473"/>
      <c r="V17" s="450"/>
    </row>
    <row r="18" spans="1:22" ht="15" customHeight="1" x14ac:dyDescent="0.25">
      <c r="A18" s="529"/>
      <c r="B18" s="532"/>
      <c r="C18" s="532"/>
      <c r="D18" s="32" t="s">
        <v>5</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450"/>
      <c r="U18" s="473"/>
      <c r="V18" s="450"/>
    </row>
    <row r="19" spans="1:22" ht="90" x14ac:dyDescent="0.25">
      <c r="A19" s="529"/>
      <c r="B19" s="532"/>
      <c r="C19" s="532"/>
      <c r="D19" s="32" t="s">
        <v>6</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450"/>
      <c r="U19" s="473"/>
      <c r="V19" s="450"/>
    </row>
    <row r="20" spans="1:22" ht="90.75" thickBot="1" x14ac:dyDescent="0.3">
      <c r="A20" s="530"/>
      <c r="B20" s="533"/>
      <c r="C20" s="533"/>
      <c r="D20" s="35" t="s">
        <v>14</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451"/>
      <c r="U20" s="474"/>
      <c r="V20" s="451"/>
    </row>
    <row r="21" spans="1:22" s="39" customFormat="1" ht="45" customHeight="1" x14ac:dyDescent="0.25">
      <c r="A21" s="534">
        <v>2</v>
      </c>
      <c r="B21" s="535"/>
      <c r="C21" s="535" t="s">
        <v>22</v>
      </c>
      <c r="D21" s="14" t="s">
        <v>3</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452">
        <f>SUM(S21:S31)</f>
        <v>74522692</v>
      </c>
      <c r="U21" s="475">
        <v>1</v>
      </c>
      <c r="V21" s="452">
        <f>+U21*T21</f>
        <v>74522692</v>
      </c>
    </row>
    <row r="22" spans="1:22" s="39" customFormat="1" ht="90" x14ac:dyDescent="0.25">
      <c r="A22" s="526"/>
      <c r="B22" s="440"/>
      <c r="C22" s="440"/>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443"/>
      <c r="U22" s="444"/>
      <c r="V22" s="443"/>
    </row>
    <row r="23" spans="1:22" s="39" customFormat="1" ht="60" x14ac:dyDescent="0.25">
      <c r="A23" s="526"/>
      <c r="B23" s="440"/>
      <c r="C23" s="440"/>
      <c r="D23" s="3" t="s">
        <v>19</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443"/>
      <c r="U23" s="444"/>
      <c r="V23" s="443"/>
    </row>
    <row r="24" spans="1:22" s="39" customFormat="1" ht="90" x14ac:dyDescent="0.25">
      <c r="A24" s="526"/>
      <c r="B24" s="440"/>
      <c r="C24" s="440"/>
      <c r="D24" s="3" t="s">
        <v>18</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443"/>
      <c r="U24" s="444"/>
      <c r="V24" s="443"/>
    </row>
    <row r="25" spans="1:22" s="39" customFormat="1" ht="75" x14ac:dyDescent="0.25">
      <c r="A25" s="526"/>
      <c r="B25" s="440"/>
      <c r="C25" s="440"/>
      <c r="D25" s="9" t="s">
        <v>21</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443"/>
      <c r="U25" s="444"/>
      <c r="V25" s="443"/>
    </row>
    <row r="26" spans="1:22" s="39" customFormat="1" ht="75" x14ac:dyDescent="0.25">
      <c r="A26" s="526"/>
      <c r="B26" s="440"/>
      <c r="C26" s="440"/>
      <c r="D26" s="95" t="s">
        <v>38</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443"/>
      <c r="U26" s="444"/>
      <c r="V26" s="443"/>
    </row>
    <row r="27" spans="1:22" s="39" customFormat="1" ht="141.75" customHeight="1" x14ac:dyDescent="0.25">
      <c r="A27" s="526"/>
      <c r="B27" s="440"/>
      <c r="C27" s="440"/>
      <c r="D27" s="7" t="s">
        <v>37</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443"/>
      <c r="U27" s="444"/>
      <c r="V27" s="443"/>
    </row>
    <row r="28" spans="1:22" s="39" customFormat="1" ht="30" x14ac:dyDescent="0.25">
      <c r="A28" s="526"/>
      <c r="B28" s="440"/>
      <c r="C28" s="440"/>
      <c r="D28" s="96" t="s">
        <v>4</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443"/>
      <c r="U28" s="444"/>
      <c r="V28" s="443"/>
    </row>
    <row r="29" spans="1:22" s="39" customFormat="1" x14ac:dyDescent="0.25">
      <c r="A29" s="526"/>
      <c r="B29" s="440"/>
      <c r="C29" s="440"/>
      <c r="D29" s="9" t="s">
        <v>5</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443"/>
      <c r="U29" s="444"/>
      <c r="V29" s="443"/>
    </row>
    <row r="30" spans="1:22" s="39" customFormat="1" ht="90" x14ac:dyDescent="0.25">
      <c r="A30" s="526"/>
      <c r="B30" s="440"/>
      <c r="C30" s="440"/>
      <c r="D30" s="9" t="s">
        <v>6</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443"/>
      <c r="U30" s="444"/>
      <c r="V30" s="443"/>
    </row>
    <row r="31" spans="1:22" s="39" customFormat="1" ht="90.75" thickBot="1" x14ac:dyDescent="0.3">
      <c r="A31" s="527"/>
      <c r="B31" s="441"/>
      <c r="C31" s="441"/>
      <c r="D31" s="16" t="s">
        <v>14</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453"/>
      <c r="U31" s="476"/>
      <c r="V31" s="453"/>
    </row>
    <row r="32" spans="1:22" ht="63.75" customHeight="1" x14ac:dyDescent="0.25">
      <c r="A32" s="519">
        <v>3</v>
      </c>
      <c r="B32" s="515" t="s">
        <v>25</v>
      </c>
      <c r="C32" s="515" t="s">
        <v>23</v>
      </c>
      <c r="D32" s="106" t="s">
        <v>15</v>
      </c>
      <c r="E32" s="25">
        <v>1</v>
      </c>
      <c r="F32" s="46">
        <v>1</v>
      </c>
      <c r="G32" s="52">
        <v>1441943.2196178541</v>
      </c>
      <c r="H32" s="42">
        <f>+G32*16%</f>
        <v>230710.91513885665</v>
      </c>
      <c r="I32" s="42">
        <f t="shared" ref="I32:I51" si="14">+H32+G32</f>
        <v>1672654.1347567108</v>
      </c>
      <c r="J32" s="59">
        <f t="shared" ref="J32:J51" si="15">+I32*F32*E32</f>
        <v>1672654.1347567108</v>
      </c>
      <c r="K32" s="52">
        <v>550000</v>
      </c>
      <c r="L32" s="26">
        <f>+K32*16%</f>
        <v>88000</v>
      </c>
      <c r="M32" s="26">
        <f t="shared" ref="M32:M51" si="16">+L32+K32</f>
        <v>638000</v>
      </c>
      <c r="N32" s="63">
        <f>+M32*F32*E32</f>
        <v>638000</v>
      </c>
      <c r="O32" s="52">
        <v>350000</v>
      </c>
      <c r="P32" s="26">
        <f>+O32*16%</f>
        <v>56000</v>
      </c>
      <c r="Q32" s="26">
        <f t="shared" ref="Q32:Q51" si="17">+P32+O32</f>
        <v>406000</v>
      </c>
      <c r="R32" s="63">
        <f t="shared" ref="R32:R44" si="18">+Q32*F32*E32</f>
        <v>406000</v>
      </c>
      <c r="S32" s="84">
        <f t="shared" ref="S32:S44" si="19">AVERAGE(N32,R32)</f>
        <v>522000</v>
      </c>
      <c r="T32" s="477">
        <f>SUM(S32:S36)</f>
        <v>3913840</v>
      </c>
      <c r="U32" s="480">
        <v>1</v>
      </c>
      <c r="V32" s="477">
        <f>+U32*T32</f>
        <v>3913840</v>
      </c>
    </row>
    <row r="33" spans="1:22" ht="63.75" customHeight="1" x14ac:dyDescent="0.25">
      <c r="A33" s="520"/>
      <c r="B33" s="516"/>
      <c r="C33" s="516"/>
      <c r="D33" s="32" t="s">
        <v>10</v>
      </c>
      <c r="E33" s="28">
        <v>1</v>
      </c>
      <c r="F33" s="107">
        <v>1</v>
      </c>
      <c r="G33" s="108">
        <v>232072.40659085635</v>
      </c>
      <c r="H33" s="30">
        <f t="shared" ref="H33:H36" si="20">+G33*16%</f>
        <v>37131.585054537019</v>
      </c>
      <c r="I33" s="30">
        <f t="shared" si="14"/>
        <v>269203.99164539337</v>
      </c>
      <c r="J33" s="60">
        <f t="shared" si="15"/>
        <v>269203.99164539337</v>
      </c>
      <c r="K33" s="53">
        <v>150000</v>
      </c>
      <c r="L33" s="30">
        <f t="shared" ref="L33:L36" si="21">+K33*16%</f>
        <v>24000</v>
      </c>
      <c r="M33" s="30">
        <f t="shared" si="16"/>
        <v>174000</v>
      </c>
      <c r="N33" s="60">
        <f t="shared" ref="N33:N36" si="22">+M33*F33*E33</f>
        <v>174000</v>
      </c>
      <c r="O33" s="53">
        <v>120000</v>
      </c>
      <c r="P33" s="30">
        <f t="shared" ref="P33:P36" si="23">+O33*16%</f>
        <v>19200</v>
      </c>
      <c r="Q33" s="30">
        <f t="shared" si="17"/>
        <v>139200</v>
      </c>
      <c r="R33" s="60">
        <f t="shared" si="18"/>
        <v>139200</v>
      </c>
      <c r="S33" s="85">
        <f t="shared" si="19"/>
        <v>156600</v>
      </c>
      <c r="T33" s="478"/>
      <c r="U33" s="481"/>
      <c r="V33" s="478"/>
    </row>
    <row r="34" spans="1:22" ht="98.25" customHeight="1" x14ac:dyDescent="0.25">
      <c r="A34" s="520"/>
      <c r="B34" s="517"/>
      <c r="C34" s="517"/>
      <c r="D34" s="32" t="s">
        <v>9</v>
      </c>
      <c r="E34" s="28">
        <v>1</v>
      </c>
      <c r="F34" s="47">
        <v>40</v>
      </c>
      <c r="G34" s="53">
        <v>23207.240659085637</v>
      </c>
      <c r="H34" s="30">
        <f t="shared" si="20"/>
        <v>3713.1585054537022</v>
      </c>
      <c r="I34" s="30">
        <f t="shared" si="14"/>
        <v>26920.39916453934</v>
      </c>
      <c r="J34" s="60">
        <f t="shared" si="15"/>
        <v>1076815.9665815737</v>
      </c>
      <c r="K34" s="53">
        <v>22000</v>
      </c>
      <c r="L34" s="30">
        <f t="shared" si="21"/>
        <v>3520</v>
      </c>
      <c r="M34" s="30">
        <f t="shared" si="16"/>
        <v>25520</v>
      </c>
      <c r="N34" s="60">
        <f t="shared" si="22"/>
        <v>1020800</v>
      </c>
      <c r="O34" s="53">
        <v>8200</v>
      </c>
      <c r="P34" s="30">
        <f t="shared" si="23"/>
        <v>1312</v>
      </c>
      <c r="Q34" s="30">
        <f t="shared" si="17"/>
        <v>9512</v>
      </c>
      <c r="R34" s="60">
        <f t="shared" si="18"/>
        <v>380480</v>
      </c>
      <c r="S34" s="85">
        <f t="shared" si="19"/>
        <v>700640</v>
      </c>
      <c r="T34" s="478"/>
      <c r="U34" s="481"/>
      <c r="V34" s="478"/>
    </row>
    <row r="35" spans="1:22" ht="135" x14ac:dyDescent="0.25">
      <c r="A35" s="520"/>
      <c r="B35" s="517"/>
      <c r="C35" s="517"/>
      <c r="D35" s="27" t="s">
        <v>7</v>
      </c>
      <c r="E35" s="28">
        <v>1</v>
      </c>
      <c r="F35" s="47">
        <v>40</v>
      </c>
      <c r="G35" s="53">
        <v>77357.468863618778</v>
      </c>
      <c r="H35" s="30">
        <f t="shared" si="20"/>
        <v>12377.195018179005</v>
      </c>
      <c r="I35" s="30">
        <f t="shared" si="14"/>
        <v>89734.66388179778</v>
      </c>
      <c r="J35" s="60">
        <f t="shared" si="15"/>
        <v>3589386.5552719114</v>
      </c>
      <c r="K35" s="53">
        <v>48000</v>
      </c>
      <c r="L35" s="30">
        <f t="shared" si="21"/>
        <v>7680</v>
      </c>
      <c r="M35" s="30">
        <f t="shared" si="16"/>
        <v>55680</v>
      </c>
      <c r="N35" s="60">
        <f t="shared" si="22"/>
        <v>2227200</v>
      </c>
      <c r="O35" s="53">
        <v>32000</v>
      </c>
      <c r="P35" s="30">
        <f t="shared" si="23"/>
        <v>5120</v>
      </c>
      <c r="Q35" s="30">
        <f t="shared" si="17"/>
        <v>37120</v>
      </c>
      <c r="R35" s="60">
        <f t="shared" si="18"/>
        <v>1484800</v>
      </c>
      <c r="S35" s="85">
        <f t="shared" si="19"/>
        <v>1856000</v>
      </c>
      <c r="T35" s="478"/>
      <c r="U35" s="481"/>
      <c r="V35" s="478"/>
    </row>
    <row r="36" spans="1:22" ht="75.75" thickBot="1" x14ac:dyDescent="0.3">
      <c r="A36" s="521"/>
      <c r="B36" s="518"/>
      <c r="C36" s="518"/>
      <c r="D36" s="35" t="s">
        <v>16</v>
      </c>
      <c r="E36" s="36">
        <v>1</v>
      </c>
      <c r="F36" s="48">
        <v>1</v>
      </c>
      <c r="G36" s="54">
        <v>1547149.3772723756</v>
      </c>
      <c r="H36" s="44">
        <f t="shared" si="20"/>
        <v>247543.90036358009</v>
      </c>
      <c r="I36" s="44">
        <f t="shared" si="14"/>
        <v>1794693.2776359557</v>
      </c>
      <c r="J36" s="61">
        <f t="shared" si="15"/>
        <v>1794693.2776359557</v>
      </c>
      <c r="K36" s="54">
        <v>320000</v>
      </c>
      <c r="L36" s="38">
        <f t="shared" si="21"/>
        <v>51200</v>
      </c>
      <c r="M36" s="38">
        <f t="shared" si="16"/>
        <v>371200</v>
      </c>
      <c r="N36" s="64">
        <f t="shared" si="22"/>
        <v>371200</v>
      </c>
      <c r="O36" s="54">
        <v>850000</v>
      </c>
      <c r="P36" s="38">
        <f t="shared" si="23"/>
        <v>136000</v>
      </c>
      <c r="Q36" s="38">
        <f t="shared" si="17"/>
        <v>986000</v>
      </c>
      <c r="R36" s="64">
        <f t="shared" si="18"/>
        <v>986000</v>
      </c>
      <c r="S36" s="86">
        <f t="shared" si="19"/>
        <v>678600</v>
      </c>
      <c r="T36" s="479"/>
      <c r="U36" s="482"/>
      <c r="V36" s="479"/>
    </row>
    <row r="37" spans="1:22" ht="45" customHeight="1" x14ac:dyDescent="0.25">
      <c r="A37" s="525">
        <v>4</v>
      </c>
      <c r="B37" s="439"/>
      <c r="C37" s="439" t="s">
        <v>35</v>
      </c>
      <c r="D37" s="109" t="s">
        <v>46</v>
      </c>
      <c r="E37" s="110">
        <v>0.5</v>
      </c>
      <c r="F37" s="111">
        <v>1</v>
      </c>
      <c r="G37" s="97">
        <v>2320724.0659085633</v>
      </c>
      <c r="H37" s="112">
        <f>+G37*16%</f>
        <v>371315.85054537014</v>
      </c>
      <c r="I37" s="112">
        <f t="shared" si="14"/>
        <v>2692039.9164539333</v>
      </c>
      <c r="J37" s="113">
        <f t="shared" si="15"/>
        <v>1346019.9582269667</v>
      </c>
      <c r="K37" s="97">
        <v>550000</v>
      </c>
      <c r="L37" s="112">
        <f>+K37*16%</f>
        <v>88000</v>
      </c>
      <c r="M37" s="112">
        <f t="shared" si="16"/>
        <v>638000</v>
      </c>
      <c r="N37" s="114">
        <f>+M37*E37*F37</f>
        <v>319000</v>
      </c>
      <c r="O37" s="97">
        <f>4500000*2</f>
        <v>9000000</v>
      </c>
      <c r="P37" s="112">
        <f>+O37*16%</f>
        <v>1440000</v>
      </c>
      <c r="Q37" s="112">
        <f t="shared" si="17"/>
        <v>10440000</v>
      </c>
      <c r="R37" s="114">
        <f t="shared" si="18"/>
        <v>5220000</v>
      </c>
      <c r="S37" s="115">
        <f t="shared" si="19"/>
        <v>2769500</v>
      </c>
      <c r="T37" s="442">
        <f>SUM(S37:S43)</f>
        <v>4779200</v>
      </c>
      <c r="U37" s="444">
        <v>1</v>
      </c>
      <c r="V37" s="442">
        <f>+U37*T37</f>
        <v>4779200</v>
      </c>
    </row>
    <row r="38" spans="1:22" ht="45" x14ac:dyDescent="0.25">
      <c r="A38" s="526"/>
      <c r="B38" s="440"/>
      <c r="C38" s="440"/>
      <c r="D38" s="3" t="s">
        <v>47</v>
      </c>
      <c r="E38" s="40">
        <v>0.5</v>
      </c>
      <c r="F38" s="50">
        <v>1</v>
      </c>
      <c r="G38" s="56">
        <v>448673.31940898893</v>
      </c>
      <c r="H38" s="10">
        <f>+G38*16%</f>
        <v>71787.73110543823</v>
      </c>
      <c r="I38" s="10">
        <f t="shared" si="14"/>
        <v>520461.05051442713</v>
      </c>
      <c r="J38" s="116">
        <f t="shared" si="15"/>
        <v>260230.52525721357</v>
      </c>
      <c r="K38" s="117">
        <v>230000</v>
      </c>
      <c r="L38" s="10">
        <f>+K38*16%</f>
        <v>36800</v>
      </c>
      <c r="M38" s="10">
        <f t="shared" si="16"/>
        <v>266800</v>
      </c>
      <c r="N38" s="114">
        <f t="shared" ref="N38:N43" si="24">+M38*E38*F38</f>
        <v>133400</v>
      </c>
      <c r="O38" s="56">
        <f>220000*2</f>
        <v>440000</v>
      </c>
      <c r="P38" s="10">
        <f>+O38*16%</f>
        <v>70400</v>
      </c>
      <c r="Q38" s="10">
        <f t="shared" si="17"/>
        <v>510400</v>
      </c>
      <c r="R38" s="66">
        <f t="shared" si="18"/>
        <v>255200</v>
      </c>
      <c r="S38" s="81">
        <f t="shared" si="19"/>
        <v>194300</v>
      </c>
      <c r="T38" s="443"/>
      <c r="U38" s="444"/>
      <c r="V38" s="443"/>
    </row>
    <row r="39" spans="1:22" ht="60" x14ac:dyDescent="0.25">
      <c r="A39" s="526"/>
      <c r="B39" s="440"/>
      <c r="C39" s="440"/>
      <c r="D39" s="3" t="s">
        <v>48</v>
      </c>
      <c r="E39" s="40">
        <v>0.5</v>
      </c>
      <c r="F39" s="50">
        <v>1</v>
      </c>
      <c r="G39" s="56">
        <v>232072.40659085635</v>
      </c>
      <c r="H39" s="10">
        <f t="shared" ref="H39:H43" si="25">+G39*16%</f>
        <v>37131.585054537019</v>
      </c>
      <c r="I39" s="10">
        <f t="shared" si="14"/>
        <v>269203.99164539337</v>
      </c>
      <c r="J39" s="116">
        <f t="shared" si="15"/>
        <v>134601.99582269668</v>
      </c>
      <c r="K39" s="117">
        <v>150000</v>
      </c>
      <c r="L39" s="10">
        <f t="shared" ref="L39:L43" si="26">+K39*16%</f>
        <v>24000</v>
      </c>
      <c r="M39" s="10">
        <f t="shared" si="16"/>
        <v>174000</v>
      </c>
      <c r="N39" s="114">
        <f t="shared" si="24"/>
        <v>87000</v>
      </c>
      <c r="O39" s="56">
        <f>120000*2</f>
        <v>240000</v>
      </c>
      <c r="P39" s="10">
        <f t="shared" ref="P39:P43" si="27">+O39*16%</f>
        <v>38400</v>
      </c>
      <c r="Q39" s="10">
        <f t="shared" si="17"/>
        <v>278400</v>
      </c>
      <c r="R39" s="66">
        <f t="shared" si="18"/>
        <v>139200</v>
      </c>
      <c r="S39" s="81">
        <f t="shared" si="19"/>
        <v>113100</v>
      </c>
      <c r="T39" s="443"/>
      <c r="U39" s="444"/>
      <c r="V39" s="443"/>
    </row>
    <row r="40" spans="1:22" ht="30" x14ac:dyDescent="0.25">
      <c r="A40" s="526"/>
      <c r="B40" s="440"/>
      <c r="C40" s="440"/>
      <c r="D40" s="3" t="s">
        <v>49</v>
      </c>
      <c r="E40" s="40">
        <v>0.5</v>
      </c>
      <c r="F40" s="50">
        <v>1</v>
      </c>
      <c r="G40" s="56">
        <v>541502.28204533155</v>
      </c>
      <c r="H40" s="10">
        <f t="shared" si="25"/>
        <v>86640.365127253055</v>
      </c>
      <c r="I40" s="10">
        <f t="shared" si="14"/>
        <v>628142.64717258466</v>
      </c>
      <c r="J40" s="116">
        <f t="shared" si="15"/>
        <v>314071.32358629233</v>
      </c>
      <c r="K40" s="117">
        <v>300000</v>
      </c>
      <c r="L40" s="10">
        <f t="shared" si="26"/>
        <v>48000</v>
      </c>
      <c r="M40" s="10">
        <f t="shared" si="16"/>
        <v>348000</v>
      </c>
      <c r="N40" s="114">
        <f t="shared" si="24"/>
        <v>174000</v>
      </c>
      <c r="O40" s="56">
        <f>350000*2</f>
        <v>700000</v>
      </c>
      <c r="P40" s="10">
        <f t="shared" si="27"/>
        <v>112000</v>
      </c>
      <c r="Q40" s="10">
        <f t="shared" si="17"/>
        <v>812000</v>
      </c>
      <c r="R40" s="66">
        <f t="shared" si="18"/>
        <v>406000</v>
      </c>
      <c r="S40" s="81">
        <f t="shared" si="19"/>
        <v>290000</v>
      </c>
      <c r="T40" s="443"/>
      <c r="U40" s="444"/>
      <c r="V40" s="443"/>
    </row>
    <row r="41" spans="1:22" ht="15" customHeight="1" x14ac:dyDescent="0.25">
      <c r="A41" s="526"/>
      <c r="B41" s="440"/>
      <c r="C41" s="440"/>
      <c r="D41" s="9" t="s">
        <v>50</v>
      </c>
      <c r="E41" s="20">
        <v>0.5</v>
      </c>
      <c r="F41" s="50">
        <v>1</v>
      </c>
      <c r="G41" s="56">
        <v>116036.20329542817</v>
      </c>
      <c r="H41" s="10">
        <f t="shared" si="25"/>
        <v>18565.79252726851</v>
      </c>
      <c r="I41" s="10">
        <f t="shared" si="14"/>
        <v>134601.99582269668</v>
      </c>
      <c r="J41" s="116">
        <f t="shared" si="15"/>
        <v>67300.997911348342</v>
      </c>
      <c r="K41" s="117">
        <v>80000</v>
      </c>
      <c r="L41" s="10">
        <f t="shared" si="26"/>
        <v>12800</v>
      </c>
      <c r="M41" s="10">
        <f t="shared" si="16"/>
        <v>92800</v>
      </c>
      <c r="N41" s="114">
        <f t="shared" si="24"/>
        <v>46400</v>
      </c>
      <c r="O41" s="56">
        <f>70000*2</f>
        <v>140000</v>
      </c>
      <c r="P41" s="10">
        <f t="shared" si="27"/>
        <v>22400</v>
      </c>
      <c r="Q41" s="10">
        <f t="shared" si="17"/>
        <v>162400</v>
      </c>
      <c r="R41" s="66">
        <f t="shared" si="18"/>
        <v>81200</v>
      </c>
      <c r="S41" s="81">
        <f t="shared" si="19"/>
        <v>63800</v>
      </c>
      <c r="T41" s="443"/>
      <c r="U41" s="444"/>
      <c r="V41" s="443"/>
    </row>
    <row r="42" spans="1:22" ht="75" x14ac:dyDescent="0.25">
      <c r="A42" s="526"/>
      <c r="B42" s="440"/>
      <c r="C42" s="440"/>
      <c r="D42" s="9" t="s">
        <v>51</v>
      </c>
      <c r="E42" s="20">
        <v>0.5</v>
      </c>
      <c r="F42" s="50">
        <v>200</v>
      </c>
      <c r="G42" s="56">
        <v>10675.330703179392</v>
      </c>
      <c r="H42" s="10">
        <f t="shared" si="25"/>
        <v>1708.0529125087028</v>
      </c>
      <c r="I42" s="10">
        <f t="shared" si="14"/>
        <v>12383.383615688095</v>
      </c>
      <c r="J42" s="116">
        <f t="shared" si="15"/>
        <v>1238338.3615688095</v>
      </c>
      <c r="K42" s="117">
        <v>4300</v>
      </c>
      <c r="L42" s="10">
        <f t="shared" si="26"/>
        <v>688</v>
      </c>
      <c r="M42" s="10">
        <f t="shared" si="16"/>
        <v>4988</v>
      </c>
      <c r="N42" s="114">
        <f t="shared" si="24"/>
        <v>498800</v>
      </c>
      <c r="O42" s="56">
        <f>4500*2</f>
        <v>9000</v>
      </c>
      <c r="P42" s="10">
        <f t="shared" si="27"/>
        <v>1440</v>
      </c>
      <c r="Q42" s="10">
        <f t="shared" si="17"/>
        <v>10440</v>
      </c>
      <c r="R42" s="66">
        <f t="shared" si="18"/>
        <v>1044000</v>
      </c>
      <c r="S42" s="81">
        <f t="shared" si="19"/>
        <v>771400</v>
      </c>
      <c r="T42" s="443"/>
      <c r="U42" s="444"/>
      <c r="V42" s="443"/>
    </row>
    <row r="43" spans="1:22" ht="75.75" thickBot="1" x14ac:dyDescent="0.3">
      <c r="A43" s="527"/>
      <c r="B43" s="441"/>
      <c r="C43" s="441"/>
      <c r="D43" s="16" t="s">
        <v>52</v>
      </c>
      <c r="E43" s="21">
        <v>0.5</v>
      </c>
      <c r="F43" s="51">
        <v>1</v>
      </c>
      <c r="G43" s="57">
        <v>1547149.3772723756</v>
      </c>
      <c r="H43" s="11">
        <f t="shared" si="25"/>
        <v>247543.90036358009</v>
      </c>
      <c r="I43" s="11">
        <f t="shared" si="14"/>
        <v>1794693.2776359557</v>
      </c>
      <c r="J43" s="118">
        <f t="shared" si="15"/>
        <v>897346.63881797786</v>
      </c>
      <c r="K43" s="119">
        <v>290000</v>
      </c>
      <c r="L43" s="17">
        <f t="shared" si="26"/>
        <v>46400</v>
      </c>
      <c r="M43" s="17">
        <f t="shared" si="16"/>
        <v>336400</v>
      </c>
      <c r="N43" s="105">
        <f t="shared" si="24"/>
        <v>168200</v>
      </c>
      <c r="O43" s="69">
        <f>850000*2</f>
        <v>1700000</v>
      </c>
      <c r="P43" s="17">
        <f t="shared" si="27"/>
        <v>272000</v>
      </c>
      <c r="Q43" s="17">
        <f t="shared" si="17"/>
        <v>1972000</v>
      </c>
      <c r="R43" s="77">
        <f t="shared" si="18"/>
        <v>986000</v>
      </c>
      <c r="S43" s="82">
        <f t="shared" si="19"/>
        <v>577100</v>
      </c>
      <c r="T43" s="443"/>
      <c r="U43" s="444"/>
      <c r="V43" s="443"/>
    </row>
    <row r="44" spans="1:22" ht="45" x14ac:dyDescent="0.25">
      <c r="A44" s="490">
        <v>5</v>
      </c>
      <c r="B44" s="493" t="s">
        <v>26</v>
      </c>
      <c r="C44" s="496" t="s">
        <v>35</v>
      </c>
      <c r="D44" s="98" t="s">
        <v>27</v>
      </c>
      <c r="E44" s="25">
        <v>1</v>
      </c>
      <c r="F44" s="46">
        <v>100</v>
      </c>
      <c r="G44" s="52">
        <v>12377.195018179005</v>
      </c>
      <c r="H44" s="26">
        <f>+G44*16%</f>
        <v>1980.351202908641</v>
      </c>
      <c r="I44" s="26">
        <f t="shared" si="14"/>
        <v>14357.546221087647</v>
      </c>
      <c r="J44" s="63">
        <f t="shared" si="15"/>
        <v>1435754.6221087647</v>
      </c>
      <c r="K44" s="52">
        <v>5000</v>
      </c>
      <c r="L44" s="26">
        <f>+K44*16%</f>
        <v>800</v>
      </c>
      <c r="M44" s="26">
        <f t="shared" si="16"/>
        <v>5800</v>
      </c>
      <c r="N44" s="63">
        <f>+M44*F44*E44</f>
        <v>580000</v>
      </c>
      <c r="O44" s="52">
        <v>4200</v>
      </c>
      <c r="P44" s="26">
        <f>+O44*16%</f>
        <v>672</v>
      </c>
      <c r="Q44" s="26">
        <f t="shared" si="17"/>
        <v>4872</v>
      </c>
      <c r="R44" s="63">
        <f t="shared" si="18"/>
        <v>487200</v>
      </c>
      <c r="S44" s="84">
        <f t="shared" si="19"/>
        <v>533600</v>
      </c>
      <c r="T44" s="477">
        <f>SUM(S44:S51)</f>
        <v>5789560</v>
      </c>
      <c r="U44" s="480">
        <v>1</v>
      </c>
      <c r="V44" s="477">
        <f>+U44*T44</f>
        <v>5789560</v>
      </c>
    </row>
    <row r="45" spans="1:22" ht="18" customHeight="1" x14ac:dyDescent="0.25">
      <c r="A45" s="491"/>
      <c r="B45" s="494"/>
      <c r="C45" s="497"/>
      <c r="D45" s="99" t="s">
        <v>28</v>
      </c>
      <c r="E45" s="29">
        <v>1</v>
      </c>
      <c r="F45" s="47">
        <v>1</v>
      </c>
      <c r="G45" s="53">
        <v>340372.86299992265</v>
      </c>
      <c r="H45" s="37">
        <f t="shared" ref="H45:H51" si="28">+G45*16%</f>
        <v>54459.658079987625</v>
      </c>
      <c r="I45" s="37">
        <f t="shared" si="14"/>
        <v>394832.52107991028</v>
      </c>
      <c r="J45" s="76">
        <f t="shared" si="15"/>
        <v>394832.52107991028</v>
      </c>
      <c r="K45" s="53">
        <v>300000</v>
      </c>
      <c r="L45" s="30">
        <f t="shared" ref="L45:L51" si="29">+K45*16%</f>
        <v>48000</v>
      </c>
      <c r="M45" s="30">
        <f t="shared" si="16"/>
        <v>348000</v>
      </c>
      <c r="N45" s="60">
        <f t="shared" ref="N45:N51" si="30">+M45*F45*E45</f>
        <v>348000</v>
      </c>
      <c r="O45" s="53">
        <v>420000</v>
      </c>
      <c r="P45" s="30">
        <f t="shared" ref="P45:P51" si="31">+O45*16%</f>
        <v>67200</v>
      </c>
      <c r="Q45" s="30">
        <f t="shared" si="17"/>
        <v>487200</v>
      </c>
      <c r="R45" s="60">
        <f t="shared" ref="R45:R51" si="32">+Q45*F45*E45</f>
        <v>487200</v>
      </c>
      <c r="S45" s="85">
        <f t="shared" ref="S45:S51" si="33">AVERAGE(N45,R45)</f>
        <v>417600</v>
      </c>
      <c r="T45" s="478"/>
      <c r="U45" s="481"/>
      <c r="V45" s="478"/>
    </row>
    <row r="46" spans="1:22" x14ac:dyDescent="0.25">
      <c r="A46" s="491"/>
      <c r="B46" s="494"/>
      <c r="C46" s="497"/>
      <c r="D46" s="100" t="s">
        <v>29</v>
      </c>
      <c r="E46" s="101">
        <v>1</v>
      </c>
      <c r="F46" s="47">
        <v>1</v>
      </c>
      <c r="G46" s="53">
        <v>116036.20329542817</v>
      </c>
      <c r="H46" s="37">
        <f t="shared" si="28"/>
        <v>18565.79252726851</v>
      </c>
      <c r="I46" s="37">
        <f t="shared" si="14"/>
        <v>134601.99582269668</v>
      </c>
      <c r="J46" s="76">
        <f t="shared" si="15"/>
        <v>134601.99582269668</v>
      </c>
      <c r="K46" s="53">
        <v>80000</v>
      </c>
      <c r="L46" s="30">
        <f t="shared" si="29"/>
        <v>12800</v>
      </c>
      <c r="M46" s="30">
        <f t="shared" si="16"/>
        <v>92800</v>
      </c>
      <c r="N46" s="60">
        <f t="shared" si="30"/>
        <v>92800</v>
      </c>
      <c r="O46" s="53">
        <v>120000</v>
      </c>
      <c r="P46" s="30">
        <f t="shared" si="31"/>
        <v>19200</v>
      </c>
      <c r="Q46" s="30">
        <f t="shared" si="17"/>
        <v>139200</v>
      </c>
      <c r="R46" s="60">
        <f t="shared" si="32"/>
        <v>139200</v>
      </c>
      <c r="S46" s="85">
        <f t="shared" si="33"/>
        <v>116000</v>
      </c>
      <c r="T46" s="478"/>
      <c r="U46" s="481"/>
      <c r="V46" s="478"/>
    </row>
    <row r="47" spans="1:22" x14ac:dyDescent="0.25">
      <c r="A47" s="491"/>
      <c r="B47" s="494"/>
      <c r="C47" s="497"/>
      <c r="D47" s="100" t="s">
        <v>30</v>
      </c>
      <c r="E47" s="101">
        <v>1</v>
      </c>
      <c r="F47" s="47">
        <v>1</v>
      </c>
      <c r="G47" s="53">
        <v>116036.20329542817</v>
      </c>
      <c r="H47" s="37">
        <f t="shared" si="28"/>
        <v>18565.79252726851</v>
      </c>
      <c r="I47" s="37">
        <f t="shared" si="14"/>
        <v>134601.99582269668</v>
      </c>
      <c r="J47" s="76">
        <f t="shared" si="15"/>
        <v>134601.99582269668</v>
      </c>
      <c r="K47" s="53">
        <v>80000</v>
      </c>
      <c r="L47" s="30">
        <f t="shared" si="29"/>
        <v>12800</v>
      </c>
      <c r="M47" s="30">
        <f t="shared" si="16"/>
        <v>92800</v>
      </c>
      <c r="N47" s="60">
        <f t="shared" si="30"/>
        <v>92800</v>
      </c>
      <c r="O47" s="53">
        <v>70000</v>
      </c>
      <c r="P47" s="30">
        <f t="shared" si="31"/>
        <v>11200</v>
      </c>
      <c r="Q47" s="30">
        <f t="shared" si="17"/>
        <v>81200</v>
      </c>
      <c r="R47" s="60">
        <f t="shared" si="32"/>
        <v>81200</v>
      </c>
      <c r="S47" s="85">
        <f t="shared" si="33"/>
        <v>87000</v>
      </c>
      <c r="T47" s="478"/>
      <c r="U47" s="481"/>
      <c r="V47" s="478"/>
    </row>
    <row r="48" spans="1:22" ht="90" x14ac:dyDescent="0.25">
      <c r="A48" s="491"/>
      <c r="B48" s="494"/>
      <c r="C48" s="497"/>
      <c r="D48" s="27" t="s">
        <v>31</v>
      </c>
      <c r="E48" s="29">
        <v>1</v>
      </c>
      <c r="F48" s="47">
        <v>150</v>
      </c>
      <c r="G48" s="53">
        <v>3094.2987545447513</v>
      </c>
      <c r="H48" s="37">
        <f t="shared" si="28"/>
        <v>495.08780072716024</v>
      </c>
      <c r="I48" s="37">
        <f t="shared" si="14"/>
        <v>3589.3865552719117</v>
      </c>
      <c r="J48" s="76">
        <f t="shared" si="15"/>
        <v>538407.98329078674</v>
      </c>
      <c r="K48" s="53">
        <v>25000</v>
      </c>
      <c r="L48" s="30">
        <f t="shared" si="29"/>
        <v>4000</v>
      </c>
      <c r="M48" s="30">
        <f t="shared" si="16"/>
        <v>29000</v>
      </c>
      <c r="N48" s="60">
        <f t="shared" si="30"/>
        <v>4350000</v>
      </c>
      <c r="O48" s="53">
        <v>2800</v>
      </c>
      <c r="P48" s="30">
        <f t="shared" si="31"/>
        <v>448</v>
      </c>
      <c r="Q48" s="30">
        <f t="shared" si="17"/>
        <v>3248</v>
      </c>
      <c r="R48" s="60">
        <f t="shared" si="32"/>
        <v>487200</v>
      </c>
      <c r="S48" s="85">
        <f t="shared" si="33"/>
        <v>2418600</v>
      </c>
      <c r="T48" s="478"/>
      <c r="U48" s="481"/>
      <c r="V48" s="478"/>
    </row>
    <row r="49" spans="1:22" ht="90" x14ac:dyDescent="0.25">
      <c r="A49" s="491"/>
      <c r="B49" s="494"/>
      <c r="C49" s="497"/>
      <c r="D49" s="27" t="s">
        <v>32</v>
      </c>
      <c r="E49" s="29">
        <v>1</v>
      </c>
      <c r="F49" s="47">
        <v>1</v>
      </c>
      <c r="G49" s="53">
        <v>5105592.9449988399</v>
      </c>
      <c r="H49" s="37">
        <f t="shared" si="28"/>
        <v>816894.87119981437</v>
      </c>
      <c r="I49" s="37">
        <f t="shared" si="14"/>
        <v>5922487.8161986545</v>
      </c>
      <c r="J49" s="76">
        <f t="shared" si="15"/>
        <v>5922487.8161986545</v>
      </c>
      <c r="K49" s="53">
        <v>7000</v>
      </c>
      <c r="L49" s="30">
        <f t="shared" si="29"/>
        <v>1120</v>
      </c>
      <c r="M49" s="30">
        <f t="shared" si="16"/>
        <v>8120</v>
      </c>
      <c r="N49" s="60">
        <f t="shared" si="30"/>
        <v>8120</v>
      </c>
      <c r="O49" s="53">
        <v>700000</v>
      </c>
      <c r="P49" s="30">
        <f t="shared" si="31"/>
        <v>112000</v>
      </c>
      <c r="Q49" s="30">
        <f t="shared" si="17"/>
        <v>812000</v>
      </c>
      <c r="R49" s="60">
        <f t="shared" si="32"/>
        <v>812000</v>
      </c>
      <c r="S49" s="85">
        <f t="shared" si="33"/>
        <v>410060</v>
      </c>
      <c r="T49" s="478"/>
      <c r="U49" s="481"/>
      <c r="V49" s="478"/>
    </row>
    <row r="50" spans="1:22" ht="60" x14ac:dyDescent="0.25">
      <c r="A50" s="491"/>
      <c r="B50" s="494"/>
      <c r="C50" s="497"/>
      <c r="D50" s="102" t="s">
        <v>33</v>
      </c>
      <c r="E50" s="29">
        <v>1</v>
      </c>
      <c r="F50" s="47">
        <v>1</v>
      </c>
      <c r="G50" s="53">
        <v>1856579.2527268508</v>
      </c>
      <c r="H50" s="37">
        <f t="shared" si="28"/>
        <v>297052.68043629616</v>
      </c>
      <c r="I50" s="37">
        <f t="shared" si="14"/>
        <v>2153631.933163147</v>
      </c>
      <c r="J50" s="76">
        <f t="shared" si="15"/>
        <v>2153631.933163147</v>
      </c>
      <c r="K50" s="53">
        <v>25000</v>
      </c>
      <c r="L50" s="30">
        <f t="shared" si="29"/>
        <v>4000</v>
      </c>
      <c r="M50" s="30">
        <f t="shared" si="16"/>
        <v>29000</v>
      </c>
      <c r="N50" s="60">
        <f t="shared" si="30"/>
        <v>29000</v>
      </c>
      <c r="O50" s="53">
        <v>1440000</v>
      </c>
      <c r="P50" s="30">
        <f t="shared" si="31"/>
        <v>230400</v>
      </c>
      <c r="Q50" s="30">
        <f t="shared" si="17"/>
        <v>1670400</v>
      </c>
      <c r="R50" s="60">
        <f t="shared" si="32"/>
        <v>1670400</v>
      </c>
      <c r="S50" s="85">
        <f t="shared" si="33"/>
        <v>849700</v>
      </c>
      <c r="T50" s="478"/>
      <c r="U50" s="481"/>
      <c r="V50" s="478"/>
    </row>
    <row r="51" spans="1:22" ht="60.75" thickBot="1" x14ac:dyDescent="0.3">
      <c r="A51" s="492"/>
      <c r="B51" s="495"/>
      <c r="C51" s="498"/>
      <c r="D51" s="103" t="s">
        <v>34</v>
      </c>
      <c r="E51" s="104">
        <v>1</v>
      </c>
      <c r="F51" s="48">
        <v>1</v>
      </c>
      <c r="G51" s="54">
        <v>928289.6263634254</v>
      </c>
      <c r="H51" s="44">
        <f t="shared" si="28"/>
        <v>148526.34021814808</v>
      </c>
      <c r="I51" s="44">
        <f t="shared" si="14"/>
        <v>1076815.9665815735</v>
      </c>
      <c r="J51" s="61">
        <f t="shared" si="15"/>
        <v>1076815.9665815735</v>
      </c>
      <c r="K51" s="54">
        <v>450000</v>
      </c>
      <c r="L51" s="38">
        <f t="shared" si="29"/>
        <v>72000</v>
      </c>
      <c r="M51" s="38">
        <f t="shared" si="16"/>
        <v>522000</v>
      </c>
      <c r="N51" s="64">
        <f t="shared" si="30"/>
        <v>522000</v>
      </c>
      <c r="O51" s="54">
        <v>1200000</v>
      </c>
      <c r="P51" s="38">
        <f t="shared" si="31"/>
        <v>192000</v>
      </c>
      <c r="Q51" s="38">
        <f t="shared" si="17"/>
        <v>1392000</v>
      </c>
      <c r="R51" s="64">
        <f t="shared" si="32"/>
        <v>1392000</v>
      </c>
      <c r="S51" s="86">
        <f t="shared" si="33"/>
        <v>957000</v>
      </c>
      <c r="T51" s="479"/>
      <c r="U51" s="482"/>
      <c r="V51" s="479"/>
    </row>
    <row r="52" spans="1:22" ht="26.25" customHeight="1" thickBot="1" x14ac:dyDescent="0.4">
      <c r="A52" s="70"/>
      <c r="B52" s="71"/>
      <c r="C52" s="71"/>
      <c r="D52" s="72"/>
      <c r="E52" s="73"/>
      <c r="F52" s="74"/>
      <c r="G52" s="483" t="s">
        <v>41</v>
      </c>
      <c r="H52" s="484"/>
      <c r="I52" s="484"/>
      <c r="J52" s="78">
        <f>SUM(J10:J51)</f>
        <v>369122642.53113621</v>
      </c>
      <c r="K52" s="483" t="s">
        <v>41</v>
      </c>
      <c r="L52" s="484"/>
      <c r="M52" s="484"/>
      <c r="N52" s="78">
        <f>SUM(N10:N51)</f>
        <v>184993088</v>
      </c>
      <c r="O52" s="485" t="s">
        <v>41</v>
      </c>
      <c r="P52" s="486"/>
      <c r="Q52" s="486"/>
      <c r="R52" s="80">
        <f>SUM(R10:R51)</f>
        <v>142039680</v>
      </c>
      <c r="S52" s="87">
        <f>AVERAGE(N52,R52)</f>
        <v>163516384</v>
      </c>
      <c r="T52" s="88">
        <f>SUM(T10:T44)</f>
        <v>163516384</v>
      </c>
      <c r="V52" s="89">
        <f>SUM(V10:V51)</f>
        <v>163516384</v>
      </c>
    </row>
    <row r="53" spans="1:22" x14ac:dyDescent="0.25">
      <c r="A53" s="70"/>
      <c r="B53" s="71"/>
      <c r="C53" s="71"/>
      <c r="D53" s="72"/>
      <c r="E53" s="73"/>
      <c r="F53" s="74"/>
      <c r="G53" s="68"/>
      <c r="H53" s="68"/>
      <c r="I53" s="68"/>
      <c r="J53" s="68"/>
    </row>
    <row r="54" spans="1:22" x14ac:dyDescent="0.25">
      <c r="A54" s="70"/>
      <c r="B54" s="71"/>
      <c r="C54" s="71"/>
      <c r="D54" s="72"/>
      <c r="E54" s="73"/>
      <c r="F54" s="74"/>
      <c r="G54" s="68"/>
      <c r="H54" s="68"/>
      <c r="I54" s="68"/>
      <c r="J54" s="68"/>
    </row>
    <row r="55" spans="1:22" ht="15.75" thickBot="1" x14ac:dyDescent="0.3">
      <c r="Q55" s="93"/>
      <c r="R55" s="91"/>
    </row>
    <row r="56" spans="1:22" ht="16.5" thickBot="1" x14ac:dyDescent="0.3">
      <c r="A56" s="4"/>
      <c r="B56" s="4"/>
      <c r="D56" s="120" t="s">
        <v>53</v>
      </c>
      <c r="E56" s="536">
        <f>+V52</f>
        <v>163516384</v>
      </c>
      <c r="F56" s="537"/>
      <c r="G56" s="538"/>
      <c r="N56" s="94"/>
      <c r="P56" s="93"/>
      <c r="Q56" s="79"/>
      <c r="R56" s="92"/>
    </row>
    <row r="57" spans="1:22" ht="16.5" thickBot="1" x14ac:dyDescent="0.3">
      <c r="D57" s="120" t="s">
        <v>54</v>
      </c>
      <c r="E57" s="536">
        <f>+E56-V44-V37</f>
        <v>152947624</v>
      </c>
      <c r="F57" s="537"/>
      <c r="G57" s="538"/>
    </row>
    <row r="58" spans="1:22" ht="16.5" thickBot="1" x14ac:dyDescent="0.3">
      <c r="D58" s="120" t="s">
        <v>55</v>
      </c>
      <c r="E58" s="536">
        <f>+V44+V37</f>
        <v>10568760</v>
      </c>
      <c r="F58" s="537"/>
      <c r="G58" s="538"/>
    </row>
    <row r="59" spans="1:22" ht="15.75" x14ac:dyDescent="0.25">
      <c r="D59" s="121"/>
      <c r="E59" s="122"/>
      <c r="F59" s="122"/>
      <c r="G59" s="122"/>
    </row>
    <row r="60" spans="1:22" ht="16.5" thickBot="1" x14ac:dyDescent="0.3">
      <c r="D60" s="121"/>
      <c r="E60" s="122"/>
      <c r="F60" s="122"/>
      <c r="G60" s="122"/>
    </row>
    <row r="61" spans="1:22" ht="27" thickBot="1" x14ac:dyDescent="0.45">
      <c r="D61" s="123" t="s">
        <v>56</v>
      </c>
      <c r="E61" s="522">
        <f>+E56</f>
        <v>163516384</v>
      </c>
      <c r="F61" s="523"/>
      <c r="G61" s="524"/>
    </row>
    <row r="62" spans="1:22" ht="15.75" x14ac:dyDescent="0.25">
      <c r="D62" s="121"/>
      <c r="E62" s="122"/>
      <c r="F62" s="122"/>
      <c r="G62" s="122"/>
    </row>
    <row r="63" spans="1:22" ht="15.75" x14ac:dyDescent="0.25">
      <c r="D63" s="121"/>
      <c r="E63" s="122"/>
      <c r="F63" s="122"/>
      <c r="G63" s="122"/>
    </row>
    <row r="64" spans="1:22" ht="15.75" x14ac:dyDescent="0.25">
      <c r="D64" s="121"/>
      <c r="E64" s="122"/>
      <c r="F64" s="122"/>
      <c r="G64" s="122"/>
    </row>
  </sheetData>
  <mergeCells count="63">
    <mergeCell ref="E61:G61"/>
    <mergeCell ref="A37:A43"/>
    <mergeCell ref="B37:B43"/>
    <mergeCell ref="B32:B36"/>
    <mergeCell ref="A8:A9"/>
    <mergeCell ref="C8:C9"/>
    <mergeCell ref="A10:A20"/>
    <mergeCell ref="C10:C20"/>
    <mergeCell ref="A21:A31"/>
    <mergeCell ref="C21:C31"/>
    <mergeCell ref="B8:B9"/>
    <mergeCell ref="B10:B20"/>
    <mergeCell ref="B21:B31"/>
    <mergeCell ref="E56:G56"/>
    <mergeCell ref="E57:G57"/>
    <mergeCell ref="E58:G58"/>
    <mergeCell ref="M8:M9"/>
    <mergeCell ref="N8:N9"/>
    <mergeCell ref="A44:A51"/>
    <mergeCell ref="B44:B51"/>
    <mergeCell ref="C44:C51"/>
    <mergeCell ref="L8:L9"/>
    <mergeCell ref="I8:I9"/>
    <mergeCell ref="K8:K9"/>
    <mergeCell ref="E8:E9"/>
    <mergeCell ref="D8:D9"/>
    <mergeCell ref="F8:F9"/>
    <mergeCell ref="J8:J9"/>
    <mergeCell ref="H8:H9"/>
    <mergeCell ref="G8:G9"/>
    <mergeCell ref="C32:C36"/>
    <mergeCell ref="A32:A36"/>
    <mergeCell ref="V32:V36"/>
    <mergeCell ref="V44:V51"/>
    <mergeCell ref="U32:U36"/>
    <mergeCell ref="G52:I52"/>
    <mergeCell ref="K52:M52"/>
    <mergeCell ref="O52:Q52"/>
    <mergeCell ref="T32:T36"/>
    <mergeCell ref="T44:T51"/>
    <mergeCell ref="U44:U51"/>
    <mergeCell ref="V7:V9"/>
    <mergeCell ref="V10:V20"/>
    <mergeCell ref="V21:V31"/>
    <mergeCell ref="U7:U9"/>
    <mergeCell ref="U10:U20"/>
    <mergeCell ref="U21:U31"/>
    <mergeCell ref="C37:C43"/>
    <mergeCell ref="T37:T43"/>
    <mergeCell ref="U37:U43"/>
    <mergeCell ref="V37:V43"/>
    <mergeCell ref="A4:V4"/>
    <mergeCell ref="S7:S9"/>
    <mergeCell ref="T7:T9"/>
    <mergeCell ref="T10:T20"/>
    <mergeCell ref="T21:T31"/>
    <mergeCell ref="O7:R7"/>
    <mergeCell ref="O8:O9"/>
    <mergeCell ref="P8:P9"/>
    <mergeCell ref="Q8:Q9"/>
    <mergeCell ref="R8:R9"/>
    <mergeCell ref="G7:J7"/>
    <mergeCell ref="K7:N7"/>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B1" zoomScale="125" zoomScaleNormal="125" zoomScalePageLayoutView="125" workbookViewId="0">
      <selection activeCell="B1" sqref="B1"/>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545" t="s">
        <v>102</v>
      </c>
      <c r="B8" s="545"/>
      <c r="C8" s="545"/>
      <c r="D8" s="545"/>
      <c r="E8" s="545"/>
      <c r="F8" s="545"/>
      <c r="G8" s="545"/>
    </row>
    <row r="9" spans="1:7" ht="25.5" x14ac:dyDescent="0.2">
      <c r="A9" s="546" t="s">
        <v>62</v>
      </c>
      <c r="B9" s="547"/>
      <c r="C9" s="138" t="s">
        <v>63</v>
      </c>
      <c r="D9" s="139" t="s">
        <v>64</v>
      </c>
      <c r="E9" s="140" t="s">
        <v>65</v>
      </c>
      <c r="F9" s="179" t="s">
        <v>101</v>
      </c>
      <c r="G9" s="179" t="s">
        <v>61</v>
      </c>
    </row>
    <row r="10" spans="1:7" x14ac:dyDescent="0.2">
      <c r="A10" s="141"/>
      <c r="B10" s="142" t="s">
        <v>117</v>
      </c>
      <c r="C10" s="138"/>
      <c r="D10" s="139"/>
      <c r="E10" s="140"/>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6"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270" customHeight="1" x14ac:dyDescent="0.2">
      <c r="A19" s="152">
        <v>2.4</v>
      </c>
      <c r="B19" s="147" t="s">
        <v>176</v>
      </c>
      <c r="C19" s="148">
        <v>2</v>
      </c>
      <c r="D19" s="148" t="s">
        <v>145</v>
      </c>
      <c r="E19" s="149" t="s">
        <v>175</v>
      </c>
      <c r="F19" s="181">
        <v>21000000</v>
      </c>
      <c r="G19" s="181">
        <f t="shared" si="0"/>
        <v>42000000</v>
      </c>
    </row>
    <row r="20" spans="1:7" ht="305.25" customHeight="1" thickBot="1" x14ac:dyDescent="0.25">
      <c r="A20" s="152">
        <v>2.4</v>
      </c>
      <c r="B20" s="147" t="s">
        <v>153</v>
      </c>
      <c r="C20" s="148">
        <v>2</v>
      </c>
      <c r="D20" s="148" t="s">
        <v>145</v>
      </c>
      <c r="E20" s="149" t="s">
        <v>154</v>
      </c>
      <c r="F20" s="182">
        <v>19000000</v>
      </c>
      <c r="G20" s="181">
        <f t="shared" si="0"/>
        <v>38000000</v>
      </c>
    </row>
    <row r="21" spans="1:7" ht="55.5" customHeight="1" x14ac:dyDescent="0.2">
      <c r="A21" s="152">
        <v>2</v>
      </c>
      <c r="B21" s="147" t="s">
        <v>144</v>
      </c>
      <c r="C21" s="147">
        <v>10</v>
      </c>
      <c r="D21" s="147" t="s">
        <v>145</v>
      </c>
      <c r="E21" s="147" t="s">
        <v>146</v>
      </c>
      <c r="F21" s="183">
        <v>5000000</v>
      </c>
      <c r="G21" s="181">
        <f t="shared" si="0"/>
        <v>50000000</v>
      </c>
    </row>
    <row r="22" spans="1:7" ht="216.75" customHeight="1" x14ac:dyDescent="0.2">
      <c r="A22" s="152">
        <v>2.1</v>
      </c>
      <c r="B22" s="147" t="s">
        <v>189</v>
      </c>
      <c r="C22" s="147">
        <v>48</v>
      </c>
      <c r="D22" s="147" t="s">
        <v>145</v>
      </c>
      <c r="E22" s="147" t="s">
        <v>147</v>
      </c>
      <c r="F22" s="184">
        <v>3500000</v>
      </c>
      <c r="G22" s="181">
        <f t="shared" si="0"/>
        <v>168000000</v>
      </c>
    </row>
    <row r="23" spans="1:7" ht="68.25" customHeight="1" x14ac:dyDescent="0.2">
      <c r="A23" s="152">
        <v>2.1</v>
      </c>
      <c r="B23" s="147" t="s">
        <v>148</v>
      </c>
      <c r="C23" s="147">
        <v>8</v>
      </c>
      <c r="D23" s="147" t="s">
        <v>145</v>
      </c>
      <c r="E23" s="147" t="s">
        <v>66</v>
      </c>
      <c r="F23" s="181">
        <v>1200000</v>
      </c>
      <c r="G23" s="181">
        <f t="shared" si="0"/>
        <v>9600000</v>
      </c>
    </row>
    <row r="24" spans="1:7" x14ac:dyDescent="0.2">
      <c r="A24" s="548">
        <v>2.1</v>
      </c>
      <c r="B24" s="551" t="s">
        <v>67</v>
      </c>
      <c r="C24" s="153">
        <v>8</v>
      </c>
      <c r="D24" s="154" t="s">
        <v>145</v>
      </c>
      <c r="E24" s="155" t="s">
        <v>68</v>
      </c>
      <c r="F24" s="181">
        <v>280000</v>
      </c>
      <c r="G24" s="181">
        <f t="shared" si="0"/>
        <v>2240000</v>
      </c>
    </row>
    <row r="25" spans="1:7" x14ac:dyDescent="0.2">
      <c r="A25" s="549"/>
      <c r="B25" s="551"/>
      <c r="C25" s="153">
        <v>8</v>
      </c>
      <c r="D25" s="154" t="s">
        <v>145</v>
      </c>
      <c r="E25" s="155" t="s">
        <v>69</v>
      </c>
      <c r="F25" s="181">
        <v>280000</v>
      </c>
      <c r="G25" s="181">
        <f t="shared" si="0"/>
        <v>2240000</v>
      </c>
    </row>
    <row r="26" spans="1:7" x14ac:dyDescent="0.2">
      <c r="A26" s="550"/>
      <c r="B26" s="551"/>
      <c r="C26" s="153">
        <v>8</v>
      </c>
      <c r="D26" s="154" t="s">
        <v>145</v>
      </c>
      <c r="E26" s="155" t="s">
        <v>70</v>
      </c>
      <c r="F26" s="181">
        <v>160000</v>
      </c>
      <c r="G26" s="181">
        <f t="shared" si="0"/>
        <v>1280000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6" t="s">
        <v>71</v>
      </c>
      <c r="C28" s="154">
        <v>8</v>
      </c>
      <c r="D28" s="154" t="s">
        <v>145</v>
      </c>
      <c r="E28" s="156" t="s">
        <v>72</v>
      </c>
      <c r="F28" s="181">
        <v>13200000</v>
      </c>
      <c r="G28" s="181">
        <f t="shared" si="0"/>
        <v>105600000</v>
      </c>
    </row>
    <row r="29" spans="1:7" x14ac:dyDescent="0.2">
      <c r="A29" s="152">
        <v>2.1</v>
      </c>
      <c r="B29" s="157" t="s">
        <v>73</v>
      </c>
      <c r="C29" s="151">
        <v>8</v>
      </c>
      <c r="D29" s="151" t="s">
        <v>75</v>
      </c>
      <c r="E29" s="162" t="s">
        <v>74</v>
      </c>
      <c r="F29" s="181">
        <v>700000</v>
      </c>
      <c r="G29" s="181">
        <f t="shared" si="0"/>
        <v>5600000</v>
      </c>
    </row>
    <row r="30" spans="1:7" x14ac:dyDescent="0.2">
      <c r="A30" s="143"/>
      <c r="B30" s="142" t="s">
        <v>177</v>
      </c>
      <c r="C30" s="144"/>
      <c r="D30" s="142"/>
      <c r="E30" s="145"/>
      <c r="F30" s="180"/>
      <c r="G30" s="180"/>
    </row>
    <row r="31" spans="1:7" x14ac:dyDescent="0.2">
      <c r="A31" s="158">
        <v>1</v>
      </c>
      <c r="B31" s="156" t="s">
        <v>78</v>
      </c>
      <c r="C31" s="151">
        <v>1</v>
      </c>
      <c r="D31" s="159" t="s">
        <v>77</v>
      </c>
      <c r="E31" s="162"/>
      <c r="F31" s="181">
        <v>650000</v>
      </c>
      <c r="G31" s="181">
        <f t="shared" si="0"/>
        <v>650000</v>
      </c>
    </row>
    <row r="32" spans="1:7" x14ac:dyDescent="0.2">
      <c r="A32" s="158">
        <f t="shared" ref="A32:A61" si="1">+A31+1</f>
        <v>2</v>
      </c>
      <c r="B32" s="156" t="s">
        <v>79</v>
      </c>
      <c r="C32" s="160">
        <v>30000</v>
      </c>
      <c r="D32" s="159" t="s">
        <v>77</v>
      </c>
      <c r="E32" s="162"/>
      <c r="F32" s="181">
        <v>1300</v>
      </c>
      <c r="G32" s="181">
        <f>+F32*C32</f>
        <v>39000000</v>
      </c>
    </row>
    <row r="33" spans="1:7" x14ac:dyDescent="0.2">
      <c r="A33" s="158">
        <f t="shared" si="1"/>
        <v>3</v>
      </c>
      <c r="B33" s="156" t="s">
        <v>80</v>
      </c>
      <c r="C33" s="151">
        <v>1</v>
      </c>
      <c r="D33" s="159" t="s">
        <v>77</v>
      </c>
      <c r="E33" s="162"/>
      <c r="F33" s="181">
        <v>2100000</v>
      </c>
      <c r="G33" s="181">
        <f t="shared" si="0"/>
        <v>2100000</v>
      </c>
    </row>
    <row r="34" spans="1:7" x14ac:dyDescent="0.2">
      <c r="A34" s="158">
        <f t="shared" si="1"/>
        <v>4</v>
      </c>
      <c r="B34" s="156" t="s">
        <v>81</v>
      </c>
      <c r="C34" s="151">
        <v>2</v>
      </c>
      <c r="D34" s="159" t="s">
        <v>77</v>
      </c>
      <c r="E34" s="162"/>
      <c r="F34" s="181">
        <v>1500000</v>
      </c>
      <c r="G34" s="181">
        <f t="shared" si="0"/>
        <v>3000000</v>
      </c>
    </row>
    <row r="35" spans="1:7" x14ac:dyDescent="0.2">
      <c r="A35" s="158">
        <f t="shared" si="1"/>
        <v>5</v>
      </c>
      <c r="B35" s="156" t="s">
        <v>82</v>
      </c>
      <c r="C35" s="151">
        <v>4</v>
      </c>
      <c r="D35" s="159" t="s">
        <v>77</v>
      </c>
      <c r="E35" s="162"/>
      <c r="F35" s="181">
        <v>1400000</v>
      </c>
      <c r="G35" s="181">
        <f t="shared" si="0"/>
        <v>5600000</v>
      </c>
    </row>
    <row r="36" spans="1:7" x14ac:dyDescent="0.2">
      <c r="A36" s="158">
        <f t="shared" si="1"/>
        <v>6</v>
      </c>
      <c r="B36" s="156" t="s">
        <v>137</v>
      </c>
      <c r="C36" s="151">
        <v>4</v>
      </c>
      <c r="D36" s="159" t="s">
        <v>77</v>
      </c>
      <c r="E36" s="162"/>
      <c r="F36" s="181">
        <v>600000</v>
      </c>
      <c r="G36" s="181">
        <f t="shared" si="0"/>
        <v>2400000</v>
      </c>
    </row>
    <row r="37" spans="1:7" x14ac:dyDescent="0.2">
      <c r="A37" s="158">
        <f t="shared" si="1"/>
        <v>7</v>
      </c>
      <c r="B37" s="156" t="s">
        <v>138</v>
      </c>
      <c r="C37" s="160">
        <v>40000</v>
      </c>
      <c r="D37" s="159" t="s">
        <v>77</v>
      </c>
      <c r="E37" s="162"/>
      <c r="F37" s="184">
        <v>310</v>
      </c>
      <c r="G37" s="181">
        <f t="shared" si="0"/>
        <v>12400000</v>
      </c>
    </row>
    <row r="38" spans="1:7" x14ac:dyDescent="0.2">
      <c r="A38" s="158">
        <f t="shared" si="1"/>
        <v>8</v>
      </c>
      <c r="B38" s="156" t="s">
        <v>139</v>
      </c>
      <c r="C38" s="151">
        <v>2</v>
      </c>
      <c r="D38" s="159" t="s">
        <v>77</v>
      </c>
      <c r="E38" s="162"/>
      <c r="F38" s="181">
        <v>900000</v>
      </c>
      <c r="G38" s="181">
        <f t="shared" si="0"/>
        <v>1800000</v>
      </c>
    </row>
    <row r="39" spans="1:7" x14ac:dyDescent="0.2">
      <c r="A39" s="158">
        <f t="shared" si="1"/>
        <v>9</v>
      </c>
      <c r="B39" s="156" t="s">
        <v>140</v>
      </c>
      <c r="C39" s="160">
        <v>20000</v>
      </c>
      <c r="D39" s="159" t="s">
        <v>77</v>
      </c>
      <c r="E39" s="162"/>
      <c r="F39" s="184">
        <v>360</v>
      </c>
      <c r="G39" s="181">
        <f t="shared" si="0"/>
        <v>7200000</v>
      </c>
    </row>
    <row r="40" spans="1:7" x14ac:dyDescent="0.2">
      <c r="A40" s="158">
        <f t="shared" si="1"/>
        <v>10</v>
      </c>
      <c r="B40" s="156" t="s">
        <v>141</v>
      </c>
      <c r="C40" s="151">
        <v>2</v>
      </c>
      <c r="D40" s="159" t="s">
        <v>77</v>
      </c>
      <c r="E40" s="162"/>
      <c r="F40" s="181">
        <v>1200000</v>
      </c>
      <c r="G40" s="181">
        <f t="shared" si="0"/>
        <v>2400000</v>
      </c>
    </row>
    <row r="41" spans="1:7" x14ac:dyDescent="0.2">
      <c r="A41" s="158">
        <f t="shared" si="1"/>
        <v>11</v>
      </c>
      <c r="B41" s="156" t="s">
        <v>142</v>
      </c>
      <c r="C41" s="160">
        <v>20000</v>
      </c>
      <c r="D41" s="159" t="s">
        <v>77</v>
      </c>
      <c r="E41" s="162"/>
      <c r="F41" s="184">
        <v>360</v>
      </c>
      <c r="G41" s="181">
        <f t="shared" si="0"/>
        <v>7200000</v>
      </c>
    </row>
    <row r="42" spans="1:7" x14ac:dyDescent="0.2">
      <c r="A42" s="158">
        <f t="shared" si="1"/>
        <v>12</v>
      </c>
      <c r="B42" s="156" t="s">
        <v>133</v>
      </c>
      <c r="C42" s="160">
        <v>5000</v>
      </c>
      <c r="D42" s="159" t="s">
        <v>77</v>
      </c>
      <c r="E42" s="162"/>
      <c r="F42" s="181">
        <v>3500</v>
      </c>
      <c r="G42" s="181">
        <f t="shared" si="0"/>
        <v>17500000</v>
      </c>
    </row>
    <row r="43" spans="1:7" ht="28.5" customHeight="1" x14ac:dyDescent="0.2">
      <c r="A43" s="158">
        <f t="shared" si="1"/>
        <v>13</v>
      </c>
      <c r="B43" s="156" t="s">
        <v>188</v>
      </c>
      <c r="C43" s="160">
        <v>5000</v>
      </c>
      <c r="D43" s="159" t="s">
        <v>77</v>
      </c>
      <c r="E43" s="162"/>
      <c r="F43" s="181">
        <v>1800</v>
      </c>
      <c r="G43" s="181">
        <f t="shared" si="0"/>
        <v>9000000</v>
      </c>
    </row>
    <row r="44" spans="1:7" x14ac:dyDescent="0.2">
      <c r="A44" s="158">
        <f t="shared" si="1"/>
        <v>14</v>
      </c>
      <c r="B44" s="156" t="s">
        <v>124</v>
      </c>
      <c r="C44" s="160">
        <v>1</v>
      </c>
      <c r="D44" s="159" t="s">
        <v>77</v>
      </c>
      <c r="E44" s="162"/>
      <c r="F44" s="181">
        <v>800000</v>
      </c>
      <c r="G44" s="181">
        <f t="shared" si="0"/>
        <v>800000</v>
      </c>
    </row>
    <row r="45" spans="1:7" x14ac:dyDescent="0.2">
      <c r="A45" s="158">
        <f t="shared" si="1"/>
        <v>15</v>
      </c>
      <c r="B45" s="161" t="s">
        <v>125</v>
      </c>
      <c r="C45" s="160">
        <v>5000</v>
      </c>
      <c r="D45" s="159" t="s">
        <v>77</v>
      </c>
      <c r="E45" s="162"/>
      <c r="F45" s="181">
        <v>5400</v>
      </c>
      <c r="G45" s="181">
        <f t="shared" si="0"/>
        <v>27000000</v>
      </c>
    </row>
    <row r="46" spans="1:7" x14ac:dyDescent="0.2">
      <c r="A46" s="158">
        <f t="shared" si="1"/>
        <v>16</v>
      </c>
      <c r="B46" s="161" t="s">
        <v>126</v>
      </c>
      <c r="C46" s="151">
        <v>1</v>
      </c>
      <c r="D46" s="159" t="s">
        <v>77</v>
      </c>
      <c r="E46" s="162"/>
      <c r="F46" s="181">
        <v>775000</v>
      </c>
      <c r="G46" s="181">
        <f t="shared" si="0"/>
        <v>775000</v>
      </c>
    </row>
    <row r="47" spans="1:7" x14ac:dyDescent="0.2">
      <c r="A47" s="158">
        <f t="shared" si="1"/>
        <v>17</v>
      </c>
      <c r="B47" s="161" t="s">
        <v>134</v>
      </c>
      <c r="C47" s="160">
        <v>5000</v>
      </c>
      <c r="D47" s="159" t="s">
        <v>77</v>
      </c>
      <c r="E47" s="162"/>
      <c r="F47" s="181">
        <v>4000</v>
      </c>
      <c r="G47" s="181">
        <f t="shared" si="0"/>
        <v>20000000</v>
      </c>
    </row>
    <row r="48" spans="1:7" x14ac:dyDescent="0.2">
      <c r="A48" s="158">
        <f t="shared" si="1"/>
        <v>18</v>
      </c>
      <c r="B48" s="156" t="s">
        <v>83</v>
      </c>
      <c r="C48" s="151">
        <v>5</v>
      </c>
      <c r="D48" s="159" t="s">
        <v>77</v>
      </c>
      <c r="E48" s="162"/>
      <c r="F48" s="181">
        <v>650000</v>
      </c>
      <c r="G48" s="181">
        <f t="shared" si="0"/>
        <v>3250000</v>
      </c>
    </row>
    <row r="49" spans="1:7" ht="25.5" x14ac:dyDescent="0.2">
      <c r="A49" s="158">
        <f t="shared" si="1"/>
        <v>19</v>
      </c>
      <c r="B49" s="156" t="s">
        <v>135</v>
      </c>
      <c r="C49" s="148">
        <v>40</v>
      </c>
      <c r="D49" s="159" t="s">
        <v>77</v>
      </c>
      <c r="E49" s="162" t="s">
        <v>156</v>
      </c>
      <c r="F49" s="181">
        <v>290000</v>
      </c>
      <c r="G49" s="181">
        <f t="shared" si="0"/>
        <v>11600000</v>
      </c>
    </row>
    <row r="50" spans="1:7" x14ac:dyDescent="0.2">
      <c r="A50" s="158">
        <f t="shared" si="1"/>
        <v>20</v>
      </c>
      <c r="B50" s="156" t="s">
        <v>84</v>
      </c>
      <c r="C50" s="151">
        <v>1</v>
      </c>
      <c r="D50" s="159" t="s">
        <v>77</v>
      </c>
      <c r="E50" s="162"/>
      <c r="F50" s="181">
        <v>650000</v>
      </c>
      <c r="G50" s="181">
        <f t="shared" si="0"/>
        <v>650000</v>
      </c>
    </row>
    <row r="51" spans="1:7" ht="25.5" x14ac:dyDescent="0.2">
      <c r="A51" s="158">
        <f t="shared" si="1"/>
        <v>21</v>
      </c>
      <c r="B51" s="156" t="s">
        <v>85</v>
      </c>
      <c r="C51" s="151">
        <v>2</v>
      </c>
      <c r="D51" s="159" t="s">
        <v>77</v>
      </c>
      <c r="E51" s="162" t="s">
        <v>156</v>
      </c>
      <c r="F51" s="181">
        <v>390000</v>
      </c>
      <c r="G51" s="181">
        <f t="shared" si="0"/>
        <v>780000</v>
      </c>
    </row>
    <row r="52" spans="1:7" x14ac:dyDescent="0.2">
      <c r="A52" s="158">
        <f t="shared" si="1"/>
        <v>22</v>
      </c>
      <c r="B52" s="156" t="s">
        <v>86</v>
      </c>
      <c r="C52" s="151">
        <v>1</v>
      </c>
      <c r="D52" s="159" t="s">
        <v>77</v>
      </c>
      <c r="E52" s="162"/>
      <c r="F52" s="181">
        <v>730000</v>
      </c>
      <c r="G52" s="181">
        <f t="shared" si="0"/>
        <v>730000</v>
      </c>
    </row>
    <row r="53" spans="1:7" ht="38.25" x14ac:dyDescent="0.2">
      <c r="A53" s="158">
        <f t="shared" si="1"/>
        <v>23</v>
      </c>
      <c r="B53" s="156" t="s">
        <v>87</v>
      </c>
      <c r="C53" s="151">
        <v>1</v>
      </c>
      <c r="D53" s="159" t="s">
        <v>77</v>
      </c>
      <c r="E53" s="162" t="s">
        <v>157</v>
      </c>
      <c r="F53" s="181">
        <v>280000</v>
      </c>
      <c r="G53" s="181">
        <f t="shared" si="0"/>
        <v>280000</v>
      </c>
    </row>
    <row r="54" spans="1:7" x14ac:dyDescent="0.2">
      <c r="A54" s="158">
        <f t="shared" si="1"/>
        <v>24</v>
      </c>
      <c r="B54" s="156" t="s">
        <v>88</v>
      </c>
      <c r="C54" s="151">
        <v>1</v>
      </c>
      <c r="D54" s="159" t="s">
        <v>77</v>
      </c>
      <c r="E54" s="162"/>
      <c r="F54" s="181">
        <v>730000</v>
      </c>
      <c r="G54" s="181">
        <f t="shared" si="0"/>
        <v>730000</v>
      </c>
    </row>
    <row r="55" spans="1:7" ht="38.25" x14ac:dyDescent="0.2">
      <c r="A55" s="158">
        <f t="shared" si="1"/>
        <v>25</v>
      </c>
      <c r="B55" s="156" t="s">
        <v>89</v>
      </c>
      <c r="C55" s="151">
        <v>2</v>
      </c>
      <c r="D55" s="159" t="s">
        <v>77</v>
      </c>
      <c r="E55" s="162" t="s">
        <v>157</v>
      </c>
      <c r="F55" s="181">
        <v>540000</v>
      </c>
      <c r="G55" s="181">
        <f t="shared" si="0"/>
        <v>1080000</v>
      </c>
    </row>
    <row r="56" spans="1:7" x14ac:dyDescent="0.2">
      <c r="A56" s="158">
        <f>+A55+1</f>
        <v>26</v>
      </c>
      <c r="B56" s="156" t="s">
        <v>90</v>
      </c>
      <c r="C56" s="151">
        <v>1</v>
      </c>
      <c r="D56" s="159" t="s">
        <v>77</v>
      </c>
      <c r="E56" s="162"/>
      <c r="F56" s="181">
        <v>790000</v>
      </c>
      <c r="G56" s="181">
        <f t="shared" si="0"/>
        <v>790000</v>
      </c>
    </row>
    <row r="57" spans="1:7" ht="38.25" x14ac:dyDescent="0.2">
      <c r="A57" s="158">
        <f t="shared" si="1"/>
        <v>27</v>
      </c>
      <c r="B57" s="156" t="s">
        <v>91</v>
      </c>
      <c r="C57" s="151">
        <v>2</v>
      </c>
      <c r="D57" s="159" t="s">
        <v>77</v>
      </c>
      <c r="E57" s="162" t="s">
        <v>157</v>
      </c>
      <c r="F57" s="181" t="s">
        <v>190</v>
      </c>
      <c r="G57" s="181" t="s">
        <v>190</v>
      </c>
    </row>
    <row r="58" spans="1:7" x14ac:dyDescent="0.2">
      <c r="A58" s="158">
        <f t="shared" si="1"/>
        <v>28</v>
      </c>
      <c r="B58" s="156" t="s">
        <v>92</v>
      </c>
      <c r="C58" s="151">
        <v>1</v>
      </c>
      <c r="D58" s="159" t="s">
        <v>77</v>
      </c>
      <c r="E58" s="162"/>
      <c r="F58" s="181">
        <v>920000</v>
      </c>
      <c r="G58" s="181">
        <f t="shared" si="0"/>
        <v>920000</v>
      </c>
    </row>
    <row r="59" spans="1:7" ht="38.25" x14ac:dyDescent="0.2">
      <c r="A59" s="158">
        <f t="shared" si="1"/>
        <v>29</v>
      </c>
      <c r="B59" s="156" t="s">
        <v>93</v>
      </c>
      <c r="C59" s="151">
        <v>1</v>
      </c>
      <c r="D59" s="159" t="s">
        <v>77</v>
      </c>
      <c r="E59" s="162" t="s">
        <v>157</v>
      </c>
      <c r="F59" s="181" t="s">
        <v>190</v>
      </c>
      <c r="G59" s="181" t="s">
        <v>190</v>
      </c>
    </row>
    <row r="60" spans="1:7" x14ac:dyDescent="0.2">
      <c r="A60" s="158">
        <f t="shared" si="1"/>
        <v>30</v>
      </c>
      <c r="B60" s="156" t="s">
        <v>94</v>
      </c>
      <c r="C60" s="151">
        <v>1</v>
      </c>
      <c r="D60" s="159" t="s">
        <v>77</v>
      </c>
      <c r="E60" s="162"/>
      <c r="F60" s="181">
        <v>920000</v>
      </c>
      <c r="G60" s="181">
        <f t="shared" si="0"/>
        <v>920000</v>
      </c>
    </row>
    <row r="61" spans="1:7" ht="38.25" x14ac:dyDescent="0.2">
      <c r="A61" s="158">
        <f t="shared" si="1"/>
        <v>31</v>
      </c>
      <c r="B61" s="156" t="s">
        <v>95</v>
      </c>
      <c r="C61" s="151">
        <v>1</v>
      </c>
      <c r="D61" s="159" t="s">
        <v>77</v>
      </c>
      <c r="E61" s="162" t="s">
        <v>157</v>
      </c>
      <c r="F61" s="181" t="s">
        <v>190</v>
      </c>
      <c r="G61" s="181" t="s">
        <v>190</v>
      </c>
    </row>
    <row r="62" spans="1:7" hidden="1" x14ac:dyDescent="0.2">
      <c r="A62" s="158">
        <f t="shared" ref="A62:A67" si="2">+A61+1</f>
        <v>32</v>
      </c>
      <c r="B62" s="156" t="s">
        <v>96</v>
      </c>
      <c r="C62" s="151">
        <v>1</v>
      </c>
      <c r="D62" s="159" t="s">
        <v>77</v>
      </c>
      <c r="E62" s="162"/>
      <c r="F62" s="181"/>
      <c r="G62" s="181">
        <f t="shared" si="0"/>
        <v>0</v>
      </c>
    </row>
    <row r="63" spans="1:7" hidden="1" x14ac:dyDescent="0.2">
      <c r="A63" s="158">
        <f t="shared" si="2"/>
        <v>33</v>
      </c>
      <c r="B63" s="156" t="s">
        <v>97</v>
      </c>
      <c r="C63" s="151">
        <v>1</v>
      </c>
      <c r="D63" s="159" t="s">
        <v>77</v>
      </c>
      <c r="E63" s="162"/>
      <c r="F63" s="181"/>
      <c r="G63" s="181">
        <f t="shared" si="0"/>
        <v>0</v>
      </c>
    </row>
    <row r="64" spans="1:7" hidden="1" x14ac:dyDescent="0.2">
      <c r="A64" s="158">
        <f t="shared" si="2"/>
        <v>34</v>
      </c>
      <c r="B64" s="156" t="s">
        <v>98</v>
      </c>
      <c r="C64" s="151">
        <v>1</v>
      </c>
      <c r="D64" s="159" t="s">
        <v>77</v>
      </c>
      <c r="E64" s="162"/>
      <c r="F64" s="181"/>
      <c r="G64" s="181">
        <f t="shared" si="0"/>
        <v>0</v>
      </c>
    </row>
    <row r="65" spans="1:7" hidden="1" x14ac:dyDescent="0.2">
      <c r="A65" s="158">
        <f t="shared" si="2"/>
        <v>35</v>
      </c>
      <c r="B65" s="156" t="s">
        <v>99</v>
      </c>
      <c r="C65" s="151">
        <v>1</v>
      </c>
      <c r="D65" s="159" t="s">
        <v>77</v>
      </c>
      <c r="E65" s="162"/>
      <c r="F65" s="181"/>
      <c r="G65" s="181">
        <f t="shared" si="0"/>
        <v>0</v>
      </c>
    </row>
    <row r="66" spans="1:7" hidden="1" x14ac:dyDescent="0.2">
      <c r="A66" s="158">
        <f t="shared" si="2"/>
        <v>36</v>
      </c>
      <c r="B66" s="156" t="s">
        <v>100</v>
      </c>
      <c r="C66" s="151">
        <v>1</v>
      </c>
      <c r="D66" s="154" t="s">
        <v>77</v>
      </c>
      <c r="E66" s="162"/>
      <c r="F66" s="181"/>
      <c r="G66" s="181">
        <f t="shared" si="0"/>
        <v>0</v>
      </c>
    </row>
    <row r="67" spans="1:7" x14ac:dyDescent="0.2">
      <c r="A67" s="158">
        <f t="shared" si="2"/>
        <v>37</v>
      </c>
      <c r="B67" s="156" t="s">
        <v>155</v>
      </c>
      <c r="C67" s="151">
        <v>5000</v>
      </c>
      <c r="D67" s="159"/>
      <c r="E67" s="162"/>
      <c r="F67" s="181">
        <v>3200</v>
      </c>
      <c r="G67" s="181">
        <f t="shared" si="0"/>
        <v>16000000</v>
      </c>
    </row>
    <row r="68" spans="1:7" ht="14.25" customHeight="1" x14ac:dyDescent="0.2">
      <c r="A68" s="143"/>
      <c r="B68" s="552" t="s">
        <v>178</v>
      </c>
      <c r="C68" s="553"/>
      <c r="D68" s="553"/>
      <c r="E68" s="553"/>
      <c r="F68" s="553"/>
      <c r="G68" s="554"/>
    </row>
    <row r="69" spans="1:7" x14ac:dyDescent="0.2">
      <c r="A69" s="158">
        <v>1</v>
      </c>
      <c r="B69" s="156" t="s">
        <v>163</v>
      </c>
      <c r="C69" s="160"/>
      <c r="D69" s="159"/>
      <c r="E69" s="162"/>
      <c r="F69" s="181">
        <v>1200000</v>
      </c>
      <c r="G69" s="181">
        <v>1200000</v>
      </c>
    </row>
    <row r="70" spans="1:7" x14ac:dyDescent="0.2">
      <c r="A70" s="158">
        <v>2</v>
      </c>
      <c r="B70" s="156" t="s">
        <v>164</v>
      </c>
      <c r="C70" s="160">
        <v>58500</v>
      </c>
      <c r="D70" s="159" t="s">
        <v>77</v>
      </c>
      <c r="E70" s="162"/>
      <c r="F70" s="181">
        <v>270</v>
      </c>
      <c r="G70" s="181">
        <f t="shared" si="0"/>
        <v>15795000</v>
      </c>
    </row>
    <row r="71" spans="1:7" ht="25.5" x14ac:dyDescent="0.2">
      <c r="A71" s="158">
        <v>3</v>
      </c>
      <c r="B71" s="156" t="s">
        <v>165</v>
      </c>
      <c r="C71" s="160"/>
      <c r="D71" s="159"/>
      <c r="E71" s="162"/>
      <c r="F71" s="181">
        <v>2300000</v>
      </c>
      <c r="G71" s="181">
        <v>2300000</v>
      </c>
    </row>
    <row r="72" spans="1:7" ht="30.75" customHeight="1" x14ac:dyDescent="0.2">
      <c r="A72" s="158">
        <v>4</v>
      </c>
      <c r="B72" s="156" t="s">
        <v>166</v>
      </c>
      <c r="C72" s="160">
        <v>29250</v>
      </c>
      <c r="D72" s="159" t="s">
        <v>77</v>
      </c>
      <c r="E72" s="162"/>
      <c r="F72" s="181">
        <v>1900</v>
      </c>
      <c r="G72" s="181">
        <f t="shared" si="0"/>
        <v>55575000</v>
      </c>
    </row>
    <row r="73" spans="1:7" ht="27.75" customHeight="1" x14ac:dyDescent="0.2">
      <c r="A73" s="158">
        <v>5</v>
      </c>
      <c r="B73" s="156" t="s">
        <v>167</v>
      </c>
      <c r="C73" s="160"/>
      <c r="D73" s="159"/>
      <c r="E73" s="162"/>
      <c r="F73" s="181">
        <v>2500000</v>
      </c>
      <c r="G73" s="181">
        <v>2500000</v>
      </c>
    </row>
    <row r="74" spans="1:7" ht="30" customHeight="1" x14ac:dyDescent="0.2">
      <c r="A74" s="158">
        <v>6</v>
      </c>
      <c r="B74" s="156" t="s">
        <v>168</v>
      </c>
      <c r="C74" s="160">
        <v>29250</v>
      </c>
      <c r="D74" s="159" t="s">
        <v>77</v>
      </c>
      <c r="E74" s="162"/>
      <c r="F74" s="181">
        <v>2800</v>
      </c>
      <c r="G74" s="181">
        <f t="shared" si="0"/>
        <v>81900000</v>
      </c>
    </row>
    <row r="75" spans="1:7" x14ac:dyDescent="0.2">
      <c r="A75" s="158">
        <v>7</v>
      </c>
      <c r="B75" s="156" t="s">
        <v>149</v>
      </c>
      <c r="C75" s="160">
        <v>29250</v>
      </c>
      <c r="D75" s="159" t="s">
        <v>77</v>
      </c>
      <c r="E75" s="162"/>
      <c r="F75" s="181">
        <v>25000</v>
      </c>
      <c r="G75" s="181">
        <f t="shared" si="0"/>
        <v>731250000</v>
      </c>
    </row>
    <row r="76" spans="1:7" ht="24" customHeight="1" x14ac:dyDescent="0.2">
      <c r="A76" s="158">
        <v>8</v>
      </c>
      <c r="B76" s="156" t="s">
        <v>150</v>
      </c>
      <c r="C76" s="160">
        <v>29250</v>
      </c>
      <c r="D76" s="159" t="s">
        <v>77</v>
      </c>
      <c r="E76" s="162"/>
      <c r="F76" s="181">
        <v>3500</v>
      </c>
      <c r="G76" s="181">
        <f t="shared" si="0"/>
        <v>102375000</v>
      </c>
    </row>
    <row r="77" spans="1:7" ht="58.5" customHeight="1" x14ac:dyDescent="0.2">
      <c r="A77" s="146">
        <v>9</v>
      </c>
      <c r="B77" s="156" t="s">
        <v>76</v>
      </c>
      <c r="C77" s="160">
        <v>29250</v>
      </c>
      <c r="D77" s="159" t="s">
        <v>77</v>
      </c>
      <c r="E77" s="162" t="s">
        <v>159</v>
      </c>
      <c r="F77" s="181">
        <v>9200</v>
      </c>
      <c r="G77" s="181">
        <f t="shared" ref="G77:G81" si="3">+F77*C77</f>
        <v>269100000</v>
      </c>
    </row>
    <row r="78" spans="1:7" ht="14.25" customHeight="1" x14ac:dyDescent="0.2">
      <c r="A78" s="143"/>
      <c r="B78" s="142" t="s">
        <v>179</v>
      </c>
      <c r="C78" s="144"/>
      <c r="D78" s="142"/>
      <c r="E78" s="145"/>
      <c r="F78" s="180"/>
      <c r="G78" s="180"/>
    </row>
    <row r="79" spans="1:7" x14ac:dyDescent="0.2">
      <c r="A79" s="158" t="s">
        <v>180</v>
      </c>
      <c r="B79" s="156" t="s">
        <v>143</v>
      </c>
      <c r="C79" s="151">
        <v>1</v>
      </c>
      <c r="D79" s="159" t="s">
        <v>106</v>
      </c>
      <c r="E79" s="162" t="s">
        <v>130</v>
      </c>
      <c r="F79" s="181">
        <v>3200000</v>
      </c>
      <c r="G79" s="181">
        <f t="shared" si="3"/>
        <v>3200000</v>
      </c>
    </row>
    <row r="80" spans="1:7" x14ac:dyDescent="0.2">
      <c r="A80" s="158" t="s">
        <v>181</v>
      </c>
      <c r="B80" s="156" t="s">
        <v>118</v>
      </c>
      <c r="C80" s="151">
        <v>1</v>
      </c>
      <c r="D80" s="159" t="s">
        <v>119</v>
      </c>
      <c r="E80" s="163" t="s">
        <v>109</v>
      </c>
      <c r="F80" s="181">
        <v>15600000</v>
      </c>
      <c r="G80" s="181">
        <f t="shared" si="3"/>
        <v>15600000</v>
      </c>
    </row>
    <row r="81" spans="1:8" ht="42" customHeight="1" x14ac:dyDescent="0.2">
      <c r="A81" s="158" t="s">
        <v>182</v>
      </c>
      <c r="B81" s="156" t="s">
        <v>120</v>
      </c>
      <c r="C81" s="160">
        <v>4000</v>
      </c>
      <c r="D81" s="159" t="s">
        <v>108</v>
      </c>
      <c r="E81" s="164" t="s">
        <v>158</v>
      </c>
      <c r="F81" s="181">
        <v>900</v>
      </c>
      <c r="G81" s="181">
        <f t="shared" si="3"/>
        <v>3600000</v>
      </c>
    </row>
    <row r="82" spans="1:8" ht="25.5" hidden="1" x14ac:dyDescent="0.2">
      <c r="A82" s="143"/>
      <c r="B82" s="165" t="s">
        <v>121</v>
      </c>
      <c r="C82" s="144"/>
      <c r="D82" s="142"/>
      <c r="E82" s="145"/>
      <c r="F82" s="180"/>
      <c r="G82" s="180"/>
    </row>
    <row r="83" spans="1:8" hidden="1" x14ac:dyDescent="0.2">
      <c r="A83" s="158"/>
      <c r="B83" s="156" t="s">
        <v>122</v>
      </c>
      <c r="C83" s="151"/>
      <c r="D83" s="159"/>
      <c r="E83" s="162"/>
      <c r="F83" s="181"/>
      <c r="G83" s="181"/>
    </row>
    <row r="84" spans="1:8" x14ac:dyDescent="0.2">
      <c r="A84" s="143"/>
      <c r="B84" s="165" t="s">
        <v>183</v>
      </c>
      <c r="C84" s="144"/>
      <c r="D84" s="142"/>
      <c r="E84" s="145"/>
      <c r="F84" s="180"/>
      <c r="G84" s="180"/>
    </row>
    <row r="85" spans="1:8" ht="38.25" x14ac:dyDescent="0.2">
      <c r="A85" s="146" t="s">
        <v>184</v>
      </c>
      <c r="B85" s="147" t="s">
        <v>162</v>
      </c>
      <c r="C85" s="148">
        <v>1</v>
      </c>
      <c r="D85" s="166" t="s">
        <v>77</v>
      </c>
      <c r="E85" s="163" t="s">
        <v>169</v>
      </c>
      <c r="F85" s="184">
        <v>100000000</v>
      </c>
      <c r="G85" s="181">
        <v>100000000</v>
      </c>
    </row>
    <row r="86" spans="1:8" x14ac:dyDescent="0.2">
      <c r="A86" s="167"/>
      <c r="B86" s="168" t="s">
        <v>185</v>
      </c>
      <c r="C86" s="169"/>
      <c r="D86" s="168"/>
      <c r="E86" s="170"/>
      <c r="F86" s="180"/>
      <c r="G86" s="180"/>
    </row>
    <row r="87" spans="1:8" ht="169.5" customHeight="1" x14ac:dyDescent="0.2">
      <c r="A87" s="146">
        <v>2.6</v>
      </c>
      <c r="B87" s="156" t="s">
        <v>103</v>
      </c>
      <c r="C87" s="151">
        <v>10</v>
      </c>
      <c r="D87" s="154" t="s">
        <v>105</v>
      </c>
      <c r="E87" s="149" t="s">
        <v>104</v>
      </c>
      <c r="F87" s="184">
        <v>35000000</v>
      </c>
      <c r="G87" s="181">
        <f>C87*F87</f>
        <v>350000000</v>
      </c>
      <c r="H87" s="171"/>
    </row>
    <row r="88" spans="1:8" x14ac:dyDescent="0.2">
      <c r="G88" s="178">
        <f>+SUM(G69:G87)+SUM(G12:G67)</f>
        <v>3061310000</v>
      </c>
    </row>
  </sheetData>
  <mergeCells count="5">
    <mergeCell ref="B68:G68"/>
    <mergeCell ref="A8:G8"/>
    <mergeCell ref="A9:B9"/>
    <mergeCell ref="B24:B26"/>
    <mergeCell ref="A24:A26"/>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zoomScale="140" zoomScaleNormal="140" workbookViewId="0">
      <pane ySplit="11" topLeftCell="A72" activePane="bottomLeft" state="frozen"/>
      <selection activeCell="B66" sqref="B66"/>
      <selection pane="bottomLeft" activeCell="B66" sqref="B66"/>
    </sheetView>
  </sheetViews>
  <sheetFormatPr baseColWidth="10" defaultColWidth="10.85546875" defaultRowHeight="12.75" x14ac:dyDescent="0.2"/>
  <cols>
    <col min="1" max="1" width="7.42578125" style="172" bestFit="1" customWidth="1"/>
    <col min="2" max="2" width="83" style="212" customWidth="1"/>
    <col min="3" max="3" width="14.140625" style="187" customWidth="1"/>
    <col min="4" max="4" width="16.140625" style="187" customWidth="1"/>
    <col min="5" max="5" width="82.7109375" style="175" customWidth="1"/>
    <col min="6" max="6" width="24.85546875" style="187" customWidth="1"/>
    <col min="7" max="7" width="25.7109375" style="188" customWidth="1"/>
    <col min="8" max="8" width="24.5703125" style="189" customWidth="1"/>
    <col min="9" max="16384" width="10.85546875" style="137"/>
  </cols>
  <sheetData>
    <row r="1" spans="1:8" ht="15" x14ac:dyDescent="0.25">
      <c r="B1" s="186" t="s">
        <v>195</v>
      </c>
      <c r="C1" t="s">
        <v>224</v>
      </c>
    </row>
    <row r="2" spans="1:8" x14ac:dyDescent="0.2">
      <c r="B2" s="186" t="s">
        <v>196</v>
      </c>
    </row>
    <row r="3" spans="1:8" x14ac:dyDescent="0.2">
      <c r="B3" s="186" t="s">
        <v>197</v>
      </c>
    </row>
    <row r="4" spans="1:8" x14ac:dyDescent="0.2">
      <c r="B4" s="186" t="s">
        <v>161</v>
      </c>
    </row>
    <row r="5" spans="1:8" x14ac:dyDescent="0.2">
      <c r="B5" s="186" t="s">
        <v>160</v>
      </c>
    </row>
    <row r="6" spans="1:8" x14ac:dyDescent="0.2">
      <c r="B6" s="186" t="s">
        <v>198</v>
      </c>
    </row>
    <row r="8" spans="1:8" ht="15" customHeight="1" x14ac:dyDescent="0.2">
      <c r="A8" s="545" t="s">
        <v>102</v>
      </c>
      <c r="B8" s="545"/>
      <c r="C8" s="545"/>
      <c r="D8" s="545"/>
      <c r="E8" s="545"/>
      <c r="F8" s="545"/>
      <c r="G8" s="545"/>
      <c r="H8" s="556" t="s">
        <v>199</v>
      </c>
    </row>
    <row r="9" spans="1:8" ht="25.5" x14ac:dyDescent="0.2">
      <c r="A9" s="546" t="s">
        <v>62</v>
      </c>
      <c r="B9" s="547"/>
      <c r="C9" s="190" t="s">
        <v>63</v>
      </c>
      <c r="D9" s="190" t="s">
        <v>64</v>
      </c>
      <c r="E9" s="185" t="s">
        <v>65</v>
      </c>
      <c r="F9" s="191" t="s">
        <v>101</v>
      </c>
      <c r="G9" s="192" t="s">
        <v>61</v>
      </c>
      <c r="H9" s="556"/>
    </row>
    <row r="10" spans="1:8" x14ac:dyDescent="0.2">
      <c r="A10" s="141"/>
      <c r="B10" s="193" t="s">
        <v>117</v>
      </c>
      <c r="C10" s="194"/>
      <c r="D10" s="190"/>
      <c r="E10" s="185"/>
      <c r="F10" s="191"/>
      <c r="G10" s="192"/>
      <c r="H10" s="556"/>
    </row>
    <row r="11" spans="1:8" x14ac:dyDescent="0.2">
      <c r="A11" s="143" t="s">
        <v>129</v>
      </c>
      <c r="B11" s="193" t="s">
        <v>170</v>
      </c>
      <c r="C11" s="195"/>
      <c r="D11" s="196"/>
      <c r="E11" s="145"/>
      <c r="F11" s="196"/>
      <c r="G11" s="197"/>
      <c r="H11" s="556"/>
    </row>
    <row r="12" spans="1:8" ht="91.5" customHeight="1" x14ac:dyDescent="0.2">
      <c r="A12" s="146" t="s">
        <v>171</v>
      </c>
      <c r="B12" s="198" t="s">
        <v>127</v>
      </c>
      <c r="C12" s="199">
        <v>3</v>
      </c>
      <c r="D12" s="199" t="s">
        <v>111</v>
      </c>
      <c r="E12" s="149" t="s">
        <v>131</v>
      </c>
      <c r="F12" s="200">
        <v>143260000</v>
      </c>
      <c r="G12" s="200">
        <f>F12*C12</f>
        <v>429780000</v>
      </c>
      <c r="H12" s="201" t="s">
        <v>200</v>
      </c>
    </row>
    <row r="13" spans="1:8" ht="99" customHeight="1" x14ac:dyDescent="0.2">
      <c r="A13" s="150" t="s">
        <v>171</v>
      </c>
      <c r="B13" s="198" t="s">
        <v>128</v>
      </c>
      <c r="C13" s="199">
        <v>2</v>
      </c>
      <c r="D13" s="199" t="s">
        <v>111</v>
      </c>
      <c r="E13" s="149" t="s">
        <v>132</v>
      </c>
      <c r="F13" s="200">
        <v>120640000</v>
      </c>
      <c r="G13" s="200">
        <f t="shared" ref="G13:G49" si="0">F13*C13</f>
        <v>241280000</v>
      </c>
      <c r="H13" s="201" t="s">
        <v>201</v>
      </c>
    </row>
    <row r="14" spans="1:8" ht="162" customHeight="1" x14ac:dyDescent="0.2">
      <c r="A14" s="150" t="s">
        <v>171</v>
      </c>
      <c r="B14" s="198" t="s">
        <v>186</v>
      </c>
      <c r="C14" s="199">
        <v>5</v>
      </c>
      <c r="D14" s="199" t="s">
        <v>110</v>
      </c>
      <c r="E14" s="149" t="s">
        <v>136</v>
      </c>
      <c r="F14" s="200">
        <v>180960000</v>
      </c>
      <c r="G14" s="200">
        <f t="shared" si="0"/>
        <v>904800000</v>
      </c>
      <c r="H14" s="201" t="s">
        <v>202</v>
      </c>
    </row>
    <row r="15" spans="1:8" ht="162.75" customHeight="1" x14ac:dyDescent="0.2">
      <c r="A15" s="146" t="s">
        <v>171</v>
      </c>
      <c r="B15" s="198" t="s">
        <v>187</v>
      </c>
      <c r="C15" s="199">
        <v>5</v>
      </c>
      <c r="D15" s="199" t="s">
        <v>110</v>
      </c>
      <c r="E15" s="149" t="s">
        <v>112</v>
      </c>
      <c r="F15" s="200">
        <v>226200000</v>
      </c>
      <c r="G15" s="200">
        <f t="shared" si="0"/>
        <v>1131000000</v>
      </c>
      <c r="H15" s="201" t="s">
        <v>202</v>
      </c>
    </row>
    <row r="16" spans="1:8" ht="25.5" x14ac:dyDescent="0.2">
      <c r="A16" s="146" t="s">
        <v>172</v>
      </c>
      <c r="B16" s="198" t="s">
        <v>113</v>
      </c>
      <c r="C16" s="199">
        <v>6</v>
      </c>
      <c r="D16" s="199" t="s">
        <v>114</v>
      </c>
      <c r="E16" s="149" t="s">
        <v>115</v>
      </c>
      <c r="F16" s="200">
        <v>64693200</v>
      </c>
      <c r="G16" s="200">
        <f t="shared" si="0"/>
        <v>388159200</v>
      </c>
      <c r="H16" s="201" t="s">
        <v>202</v>
      </c>
    </row>
    <row r="17" spans="1:8" ht="43.5" customHeight="1" x14ac:dyDescent="0.2">
      <c r="A17" s="146" t="s">
        <v>173</v>
      </c>
      <c r="B17" s="198" t="s">
        <v>107</v>
      </c>
      <c r="C17" s="199">
        <v>16</v>
      </c>
      <c r="D17" s="199" t="s">
        <v>123</v>
      </c>
      <c r="E17" s="149" t="s">
        <v>116</v>
      </c>
      <c r="F17" s="200">
        <v>180000000</v>
      </c>
      <c r="G17" s="200">
        <f t="shared" si="0"/>
        <v>2880000000</v>
      </c>
      <c r="H17" s="201" t="s">
        <v>202</v>
      </c>
    </row>
    <row r="18" spans="1:8" ht="285.75" customHeight="1" x14ac:dyDescent="0.2">
      <c r="A18" s="152" t="s">
        <v>174</v>
      </c>
      <c r="B18" s="198" t="s">
        <v>151</v>
      </c>
      <c r="C18" s="199">
        <v>2</v>
      </c>
      <c r="D18" s="199" t="s">
        <v>145</v>
      </c>
      <c r="E18" s="149" t="s">
        <v>152</v>
      </c>
      <c r="F18" s="221">
        <f>250800000</f>
        <v>250800000</v>
      </c>
      <c r="G18" s="200">
        <f t="shared" si="0"/>
        <v>501600000</v>
      </c>
      <c r="H18" s="201" t="s">
        <v>202</v>
      </c>
    </row>
    <row r="19" spans="1:8" ht="270" customHeight="1" x14ac:dyDescent="0.2">
      <c r="A19" s="152">
        <v>2.4</v>
      </c>
      <c r="B19" s="198" t="s">
        <v>176</v>
      </c>
      <c r="C19" s="199">
        <v>2</v>
      </c>
      <c r="D19" s="199" t="s">
        <v>145</v>
      </c>
      <c r="E19" s="149" t="s">
        <v>175</v>
      </c>
      <c r="F19" s="221">
        <f>300800000</f>
        <v>300800000</v>
      </c>
      <c r="G19" s="200">
        <f t="shared" si="0"/>
        <v>601600000</v>
      </c>
      <c r="H19" s="201" t="s">
        <v>202</v>
      </c>
    </row>
    <row r="20" spans="1:8" ht="270" customHeight="1" x14ac:dyDescent="0.2">
      <c r="A20" s="152">
        <v>2.4</v>
      </c>
      <c r="B20" s="198" t="s">
        <v>153</v>
      </c>
      <c r="C20" s="199">
        <v>2</v>
      </c>
      <c r="D20" s="199" t="s">
        <v>145</v>
      </c>
      <c r="E20" s="149" t="s">
        <v>154</v>
      </c>
      <c r="F20" s="221">
        <f>150800000</f>
        <v>150800000</v>
      </c>
      <c r="G20" s="221">
        <f t="shared" si="0"/>
        <v>301600000</v>
      </c>
      <c r="H20" s="222" t="s">
        <v>202</v>
      </c>
    </row>
    <row r="21" spans="1:8" ht="55.5" customHeight="1" x14ac:dyDescent="0.2">
      <c r="A21" s="152">
        <v>2</v>
      </c>
      <c r="B21" s="198" t="s">
        <v>144</v>
      </c>
      <c r="C21" s="202">
        <v>10</v>
      </c>
      <c r="D21" s="202" t="s">
        <v>145</v>
      </c>
      <c r="E21" s="147" t="s">
        <v>146</v>
      </c>
      <c r="F21" s="200">
        <v>603200</v>
      </c>
      <c r="G21" s="200">
        <f t="shared" si="0"/>
        <v>6032000</v>
      </c>
      <c r="H21" s="201"/>
    </row>
    <row r="22" spans="1:8" ht="216.75" customHeight="1" x14ac:dyDescent="0.2">
      <c r="A22" s="152">
        <v>2.1</v>
      </c>
      <c r="B22" s="198" t="s">
        <v>203</v>
      </c>
      <c r="C22" s="202">
        <v>48</v>
      </c>
      <c r="D22" s="202" t="s">
        <v>145</v>
      </c>
      <c r="E22" s="147" t="s">
        <v>147</v>
      </c>
      <c r="F22" s="200">
        <f>15080000/8</f>
        <v>1885000</v>
      </c>
      <c r="G22" s="200">
        <f t="shared" si="0"/>
        <v>90480000</v>
      </c>
      <c r="H22" s="201" t="s">
        <v>202</v>
      </c>
    </row>
    <row r="23" spans="1:8" ht="68.25" customHeight="1" x14ac:dyDescent="0.2">
      <c r="A23" s="152">
        <v>2.1</v>
      </c>
      <c r="B23" s="198" t="s">
        <v>148</v>
      </c>
      <c r="C23" s="202">
        <v>8</v>
      </c>
      <c r="D23" s="202" t="s">
        <v>145</v>
      </c>
      <c r="E23" s="147" t="s">
        <v>66</v>
      </c>
      <c r="F23" s="200">
        <v>1017900</v>
      </c>
      <c r="G23" s="200">
        <f t="shared" si="0"/>
        <v>8143200</v>
      </c>
      <c r="H23" s="201"/>
    </row>
    <row r="24" spans="1:8" x14ac:dyDescent="0.2">
      <c r="A24" s="548">
        <v>2.1</v>
      </c>
      <c r="B24" s="557" t="s">
        <v>67</v>
      </c>
      <c r="C24" s="203">
        <v>8</v>
      </c>
      <c r="D24" s="199" t="s">
        <v>145</v>
      </c>
      <c r="E24" s="155" t="s">
        <v>68</v>
      </c>
      <c r="F24" s="200">
        <v>244296</v>
      </c>
      <c r="G24" s="200">
        <f t="shared" si="0"/>
        <v>1954368</v>
      </c>
      <c r="H24" s="201"/>
    </row>
    <row r="25" spans="1:8" x14ac:dyDescent="0.2">
      <c r="A25" s="549"/>
      <c r="B25" s="557"/>
      <c r="C25" s="203">
        <v>8</v>
      </c>
      <c r="D25" s="199" t="s">
        <v>145</v>
      </c>
      <c r="E25" s="155" t="s">
        <v>69</v>
      </c>
      <c r="F25" s="200">
        <v>203580</v>
      </c>
      <c r="G25" s="200">
        <f t="shared" si="0"/>
        <v>1628640</v>
      </c>
      <c r="H25" s="201"/>
    </row>
    <row r="26" spans="1:8" x14ac:dyDescent="0.2">
      <c r="A26" s="550"/>
      <c r="B26" s="557"/>
      <c r="C26" s="203">
        <v>8</v>
      </c>
      <c r="D26" s="199" t="s">
        <v>145</v>
      </c>
      <c r="E26" s="155" t="s">
        <v>70</v>
      </c>
      <c r="F26" s="200">
        <v>203580</v>
      </c>
      <c r="G26" s="200">
        <f t="shared" si="0"/>
        <v>1628640</v>
      </c>
      <c r="H26" s="201"/>
    </row>
    <row r="27" spans="1:8" x14ac:dyDescent="0.2">
      <c r="A27" s="152">
        <v>2.1</v>
      </c>
      <c r="B27" s="198" t="s">
        <v>71</v>
      </c>
      <c r="C27" s="199">
        <v>8</v>
      </c>
      <c r="D27" s="199" t="s">
        <v>145</v>
      </c>
      <c r="E27" s="156" t="s">
        <v>72</v>
      </c>
      <c r="F27" s="200">
        <v>15080000</v>
      </c>
      <c r="G27" s="200">
        <f t="shared" si="0"/>
        <v>120640000</v>
      </c>
      <c r="H27" s="201"/>
    </row>
    <row r="28" spans="1:8" ht="15.75" customHeight="1" x14ac:dyDescent="0.2">
      <c r="A28" s="152">
        <v>2.1</v>
      </c>
      <c r="B28" s="198" t="s">
        <v>71</v>
      </c>
      <c r="C28" s="199">
        <v>8</v>
      </c>
      <c r="D28" s="199" t="s">
        <v>145</v>
      </c>
      <c r="E28" s="156" t="s">
        <v>72</v>
      </c>
      <c r="F28" s="200">
        <v>15080000</v>
      </c>
      <c r="G28" s="200">
        <f t="shared" si="0"/>
        <v>120640000</v>
      </c>
      <c r="H28" s="201"/>
    </row>
    <row r="29" spans="1:8" x14ac:dyDescent="0.2">
      <c r="A29" s="152">
        <v>2.1</v>
      </c>
      <c r="B29" s="204" t="s">
        <v>73</v>
      </c>
      <c r="C29" s="199">
        <v>8</v>
      </c>
      <c r="D29" s="199" t="s">
        <v>75</v>
      </c>
      <c r="E29" s="162" t="s">
        <v>74</v>
      </c>
      <c r="F29" s="200">
        <v>712530</v>
      </c>
      <c r="G29" s="200">
        <f t="shared" si="0"/>
        <v>5700240</v>
      </c>
      <c r="H29" s="201"/>
    </row>
    <row r="30" spans="1:8" x14ac:dyDescent="0.2">
      <c r="A30" s="143"/>
      <c r="B30" s="193" t="s">
        <v>177</v>
      </c>
      <c r="C30" s="195"/>
      <c r="D30" s="196"/>
      <c r="E30" s="145"/>
      <c r="F30" s="196"/>
      <c r="G30" s="196"/>
      <c r="H30" s="205"/>
    </row>
    <row r="31" spans="1:8" x14ac:dyDescent="0.2">
      <c r="A31" s="158">
        <v>1</v>
      </c>
      <c r="B31" s="198" t="s">
        <v>78</v>
      </c>
      <c r="C31" s="199">
        <v>1</v>
      </c>
      <c r="D31" s="206" t="s">
        <v>77</v>
      </c>
      <c r="E31" s="162"/>
      <c r="F31" s="200">
        <v>1000000</v>
      </c>
      <c r="G31" s="200">
        <f t="shared" si="0"/>
        <v>1000000</v>
      </c>
      <c r="H31" s="201"/>
    </row>
    <row r="32" spans="1:8" x14ac:dyDescent="0.2">
      <c r="A32" s="158">
        <f t="shared" ref="A32:A67" si="1">+A31+1</f>
        <v>2</v>
      </c>
      <c r="B32" s="198" t="s">
        <v>79</v>
      </c>
      <c r="C32" s="207">
        <v>30000</v>
      </c>
      <c r="D32" s="206" t="s">
        <v>77</v>
      </c>
      <c r="E32" s="162" t="s">
        <v>204</v>
      </c>
      <c r="F32" s="200">
        <v>500</v>
      </c>
      <c r="G32" s="200">
        <f t="shared" si="0"/>
        <v>15000000</v>
      </c>
      <c r="H32" s="201" t="s">
        <v>205</v>
      </c>
    </row>
    <row r="33" spans="1:8" x14ac:dyDescent="0.2">
      <c r="A33" s="158">
        <f t="shared" si="1"/>
        <v>3</v>
      </c>
      <c r="B33" s="198" t="s">
        <v>80</v>
      </c>
      <c r="C33" s="199">
        <v>1</v>
      </c>
      <c r="D33" s="206" t="s">
        <v>77</v>
      </c>
      <c r="E33" s="162"/>
      <c r="F33" s="200">
        <v>3137041.7812455939</v>
      </c>
      <c r="G33" s="200">
        <f t="shared" si="0"/>
        <v>3137041.7812455939</v>
      </c>
      <c r="H33" s="201"/>
    </row>
    <row r="34" spans="1:8" x14ac:dyDescent="0.2">
      <c r="A34" s="158">
        <f t="shared" si="1"/>
        <v>4</v>
      </c>
      <c r="B34" s="198" t="s">
        <v>81</v>
      </c>
      <c r="C34" s="199">
        <v>2</v>
      </c>
      <c r="D34" s="206" t="s">
        <v>77</v>
      </c>
      <c r="E34" s="162"/>
      <c r="F34" s="200">
        <v>2100080.58801674</v>
      </c>
      <c r="G34" s="200">
        <f t="shared" si="0"/>
        <v>4200161.1760334801</v>
      </c>
      <c r="H34" s="201"/>
    </row>
    <row r="35" spans="1:8" x14ac:dyDescent="0.2">
      <c r="A35" s="158">
        <f t="shared" si="1"/>
        <v>5</v>
      </c>
      <c r="B35" s="198" t="s">
        <v>82</v>
      </c>
      <c r="C35" s="199">
        <v>4</v>
      </c>
      <c r="D35" s="206" t="s">
        <v>77</v>
      </c>
      <c r="E35" s="162"/>
      <c r="F35" s="200">
        <v>1431026.5575122754</v>
      </c>
      <c r="G35" s="200">
        <f t="shared" si="0"/>
        <v>5724106.2300491016</v>
      </c>
      <c r="H35" s="201"/>
    </row>
    <row r="36" spans="1:8" x14ac:dyDescent="0.2">
      <c r="A36" s="158">
        <f t="shared" si="1"/>
        <v>6</v>
      </c>
      <c r="B36" s="198" t="s">
        <v>137</v>
      </c>
      <c r="C36" s="199">
        <v>4</v>
      </c>
      <c r="D36" s="206" t="s">
        <v>77</v>
      </c>
      <c r="E36" s="162"/>
      <c r="F36" s="200">
        <v>1805271.6337556478</v>
      </c>
      <c r="G36" s="200">
        <f t="shared" si="0"/>
        <v>7221086.5350225912</v>
      </c>
      <c r="H36" s="201"/>
    </row>
    <row r="37" spans="1:8" x14ac:dyDescent="0.2">
      <c r="A37" s="158">
        <f t="shared" si="1"/>
        <v>7</v>
      </c>
      <c r="B37" s="198" t="s">
        <v>138</v>
      </c>
      <c r="C37" s="207">
        <v>40000</v>
      </c>
      <c r="D37" s="206" t="s">
        <v>77</v>
      </c>
      <c r="E37" s="162" t="s">
        <v>206</v>
      </c>
      <c r="F37" s="200">
        <v>500</v>
      </c>
      <c r="G37" s="200">
        <f t="shared" si="0"/>
        <v>20000000</v>
      </c>
      <c r="H37" s="201" t="s">
        <v>205</v>
      </c>
    </row>
    <row r="38" spans="1:8" x14ac:dyDescent="0.2">
      <c r="A38" s="158">
        <f t="shared" si="1"/>
        <v>8</v>
      </c>
      <c r="B38" s="198" t="s">
        <v>139</v>
      </c>
      <c r="C38" s="199">
        <v>2</v>
      </c>
      <c r="D38" s="206" t="s">
        <v>77</v>
      </c>
      <c r="E38" s="162"/>
      <c r="F38" s="200">
        <v>2692549.5890610791</v>
      </c>
      <c r="G38" s="200">
        <f t="shared" si="0"/>
        <v>5385099.1781221582</v>
      </c>
      <c r="H38" s="201"/>
    </row>
    <row r="39" spans="1:8" x14ac:dyDescent="0.2">
      <c r="A39" s="158">
        <f t="shared" si="1"/>
        <v>9</v>
      </c>
      <c r="B39" s="198" t="s">
        <v>140</v>
      </c>
      <c r="C39" s="207">
        <v>20000</v>
      </c>
      <c r="D39" s="206" t="s">
        <v>77</v>
      </c>
      <c r="E39" s="162" t="s">
        <v>206</v>
      </c>
      <c r="F39" s="200">
        <v>416</v>
      </c>
      <c r="G39" s="200">
        <f t="shared" si="0"/>
        <v>8320000</v>
      </c>
      <c r="H39" s="201" t="s">
        <v>205</v>
      </c>
    </row>
    <row r="40" spans="1:8" x14ac:dyDescent="0.2">
      <c r="A40" s="158">
        <f t="shared" si="1"/>
        <v>10</v>
      </c>
      <c r="B40" s="198" t="s">
        <v>141</v>
      </c>
      <c r="C40" s="199">
        <v>2</v>
      </c>
      <c r="D40" s="206" t="s">
        <v>77</v>
      </c>
      <c r="E40" s="162"/>
      <c r="F40" s="200">
        <v>3197182.3993580537</v>
      </c>
      <c r="G40" s="200">
        <f t="shared" si="0"/>
        <v>6394364.7987161074</v>
      </c>
      <c r="H40" s="201"/>
    </row>
    <row r="41" spans="1:8" x14ac:dyDescent="0.2">
      <c r="A41" s="158">
        <f t="shared" si="1"/>
        <v>11</v>
      </c>
      <c r="B41" s="198" t="s">
        <v>142</v>
      </c>
      <c r="C41" s="207">
        <v>20000</v>
      </c>
      <c r="D41" s="206" t="s">
        <v>77</v>
      </c>
      <c r="E41" s="162" t="s">
        <v>206</v>
      </c>
      <c r="F41" s="200">
        <v>455</v>
      </c>
      <c r="G41" s="200">
        <f t="shared" si="0"/>
        <v>9100000</v>
      </c>
      <c r="H41" s="201" t="s">
        <v>205</v>
      </c>
    </row>
    <row r="42" spans="1:8" x14ac:dyDescent="0.2">
      <c r="A42" s="158">
        <f t="shared" si="1"/>
        <v>12</v>
      </c>
      <c r="B42" s="198" t="s">
        <v>133</v>
      </c>
      <c r="C42" s="207">
        <v>5000</v>
      </c>
      <c r="D42" s="206" t="s">
        <v>77</v>
      </c>
      <c r="E42" s="162" t="s">
        <v>207</v>
      </c>
      <c r="F42" s="200">
        <v>2340</v>
      </c>
      <c r="G42" s="200">
        <f t="shared" si="0"/>
        <v>11700000</v>
      </c>
      <c r="H42" s="201"/>
    </row>
    <row r="43" spans="1:8" x14ac:dyDescent="0.2">
      <c r="A43" s="158">
        <f t="shared" si="1"/>
        <v>13</v>
      </c>
      <c r="B43" s="198" t="s">
        <v>208</v>
      </c>
      <c r="C43" s="207">
        <v>5000</v>
      </c>
      <c r="D43" s="206" t="s">
        <v>77</v>
      </c>
      <c r="E43" s="162" t="s">
        <v>209</v>
      </c>
      <c r="F43" s="200">
        <v>1950</v>
      </c>
      <c r="G43" s="200">
        <f t="shared" si="0"/>
        <v>9750000</v>
      </c>
      <c r="H43" s="201"/>
    </row>
    <row r="44" spans="1:8" x14ac:dyDescent="0.2">
      <c r="A44" s="158">
        <f>+A43+1</f>
        <v>14</v>
      </c>
      <c r="B44" s="198" t="s">
        <v>124</v>
      </c>
      <c r="C44" s="207">
        <v>1</v>
      </c>
      <c r="D44" s="206" t="s">
        <v>77</v>
      </c>
      <c r="E44" s="162"/>
      <c r="F44" s="200">
        <v>2044326.6724816032</v>
      </c>
      <c r="G44" s="200">
        <f t="shared" si="0"/>
        <v>2044326.6724816032</v>
      </c>
      <c r="H44" s="201"/>
    </row>
    <row r="45" spans="1:8" ht="25.5" x14ac:dyDescent="0.2">
      <c r="A45" s="158">
        <f t="shared" si="1"/>
        <v>15</v>
      </c>
      <c r="B45" s="208" t="s">
        <v>125</v>
      </c>
      <c r="C45" s="207">
        <v>5000</v>
      </c>
      <c r="D45" s="206" t="s">
        <v>77</v>
      </c>
      <c r="E45" s="162" t="s">
        <v>210</v>
      </c>
      <c r="F45" s="200">
        <v>6500</v>
      </c>
      <c r="G45" s="200">
        <f t="shared" si="0"/>
        <v>32500000</v>
      </c>
      <c r="H45" s="201" t="s">
        <v>205</v>
      </c>
    </row>
    <row r="46" spans="1:8" x14ac:dyDescent="0.2">
      <c r="A46" s="158">
        <f t="shared" si="1"/>
        <v>16</v>
      </c>
      <c r="B46" s="208" t="s">
        <v>126</v>
      </c>
      <c r="C46" s="199">
        <v>1</v>
      </c>
      <c r="D46" s="206" t="s">
        <v>77</v>
      </c>
      <c r="E46" s="162" t="s">
        <v>211</v>
      </c>
      <c r="F46" s="200">
        <v>895167.3280659311</v>
      </c>
      <c r="G46" s="200">
        <f t="shared" si="0"/>
        <v>895167.3280659311</v>
      </c>
      <c r="H46" s="201"/>
    </row>
    <row r="47" spans="1:8" ht="25.5" x14ac:dyDescent="0.2">
      <c r="A47" s="158">
        <f t="shared" si="1"/>
        <v>17</v>
      </c>
      <c r="B47" s="208" t="s">
        <v>134</v>
      </c>
      <c r="C47" s="207">
        <v>5000</v>
      </c>
      <c r="D47" s="206" t="s">
        <v>77</v>
      </c>
      <c r="E47" s="162" t="s">
        <v>212</v>
      </c>
      <c r="F47" s="200">
        <v>234</v>
      </c>
      <c r="G47" s="200">
        <f t="shared" si="0"/>
        <v>1170000</v>
      </c>
      <c r="H47" s="201" t="s">
        <v>205</v>
      </c>
    </row>
    <row r="48" spans="1:8" x14ac:dyDescent="0.2">
      <c r="A48" s="158">
        <f t="shared" si="1"/>
        <v>18</v>
      </c>
      <c r="B48" s="198" t="s">
        <v>83</v>
      </c>
      <c r="C48" s="199">
        <v>5</v>
      </c>
      <c r="D48" s="206" t="s">
        <v>77</v>
      </c>
      <c r="E48" s="162"/>
      <c r="F48" s="200">
        <v>1198615.8499080529</v>
      </c>
      <c r="G48" s="200">
        <f t="shared" si="0"/>
        <v>5993079.2495402647</v>
      </c>
      <c r="H48" s="201"/>
    </row>
    <row r="49" spans="1:8" ht="25.5" x14ac:dyDescent="0.2">
      <c r="A49" s="158">
        <f t="shared" si="1"/>
        <v>19</v>
      </c>
      <c r="B49" s="198" t="s">
        <v>135</v>
      </c>
      <c r="C49" s="199">
        <v>40</v>
      </c>
      <c r="D49" s="206" t="s">
        <v>77</v>
      </c>
      <c r="E49" s="162" t="s">
        <v>156</v>
      </c>
      <c r="F49" s="200">
        <v>261300</v>
      </c>
      <c r="G49" s="200">
        <f t="shared" si="0"/>
        <v>10452000</v>
      </c>
      <c r="H49" s="201" t="s">
        <v>205</v>
      </c>
    </row>
    <row r="50" spans="1:8" x14ac:dyDescent="0.2">
      <c r="A50" s="158">
        <f t="shared" si="1"/>
        <v>20</v>
      </c>
      <c r="B50" s="198" t="s">
        <v>84</v>
      </c>
      <c r="C50" s="199">
        <v>1</v>
      </c>
      <c r="D50" s="206" t="s">
        <v>77</v>
      </c>
      <c r="E50" s="162"/>
      <c r="F50" s="200">
        <v>2720310.3194620861</v>
      </c>
      <c r="G50" s="209">
        <f t="shared" ref="G50:G67" si="2">+F50*C50</f>
        <v>2720310.3194620861</v>
      </c>
      <c r="H50" s="201"/>
    </row>
    <row r="51" spans="1:8" ht="25.5" x14ac:dyDescent="0.2">
      <c r="A51" s="158">
        <f t="shared" si="1"/>
        <v>21</v>
      </c>
      <c r="B51" s="198" t="s">
        <v>85</v>
      </c>
      <c r="C51" s="199">
        <v>2</v>
      </c>
      <c r="D51" s="206" t="s">
        <v>77</v>
      </c>
      <c r="E51" s="162" t="s">
        <v>156</v>
      </c>
      <c r="F51" s="200">
        <v>728000</v>
      </c>
      <c r="G51" s="209">
        <f t="shared" si="2"/>
        <v>1456000</v>
      </c>
      <c r="H51" s="201"/>
    </row>
    <row r="52" spans="1:8" x14ac:dyDescent="0.2">
      <c r="A52" s="158">
        <f t="shared" si="1"/>
        <v>22</v>
      </c>
      <c r="B52" s="198" t="s">
        <v>86</v>
      </c>
      <c r="C52" s="199">
        <v>1</v>
      </c>
      <c r="D52" s="206" t="s">
        <v>77</v>
      </c>
      <c r="E52" s="162"/>
      <c r="F52" s="200">
        <v>2305292.3308249991</v>
      </c>
      <c r="G52" s="209">
        <f t="shared" si="2"/>
        <v>2305292.3308249991</v>
      </c>
      <c r="H52" s="201"/>
    </row>
    <row r="53" spans="1:8" ht="25.5" x14ac:dyDescent="0.2">
      <c r="A53" s="158">
        <f t="shared" si="1"/>
        <v>23</v>
      </c>
      <c r="B53" s="198" t="s">
        <v>87</v>
      </c>
      <c r="C53" s="199">
        <v>1</v>
      </c>
      <c r="D53" s="206" t="s">
        <v>77</v>
      </c>
      <c r="E53" s="162" t="s">
        <v>157</v>
      </c>
      <c r="F53" s="200">
        <v>624000</v>
      </c>
      <c r="G53" s="209">
        <f t="shared" si="2"/>
        <v>624000</v>
      </c>
      <c r="H53" s="201"/>
    </row>
    <row r="54" spans="1:8" x14ac:dyDescent="0.2">
      <c r="A54" s="158">
        <f t="shared" si="1"/>
        <v>24</v>
      </c>
      <c r="B54" s="198" t="s">
        <v>88</v>
      </c>
      <c r="C54" s="199">
        <v>1</v>
      </c>
      <c r="D54" s="206" t="s">
        <v>77</v>
      </c>
      <c r="E54" s="162"/>
      <c r="F54" s="200">
        <v>2305292.3308249991</v>
      </c>
      <c r="G54" s="209">
        <f t="shared" si="2"/>
        <v>2305292.3308249991</v>
      </c>
      <c r="H54" s="201"/>
    </row>
    <row r="55" spans="1:8" ht="25.5" x14ac:dyDescent="0.2">
      <c r="A55" s="158">
        <f t="shared" si="1"/>
        <v>25</v>
      </c>
      <c r="B55" s="198" t="s">
        <v>89</v>
      </c>
      <c r="C55" s="199">
        <v>2</v>
      </c>
      <c r="D55" s="206" t="s">
        <v>77</v>
      </c>
      <c r="E55" s="162" t="s">
        <v>157</v>
      </c>
      <c r="F55" s="200">
        <v>874640</v>
      </c>
      <c r="G55" s="209">
        <f t="shared" si="2"/>
        <v>1749280</v>
      </c>
      <c r="H55" s="201"/>
    </row>
    <row r="56" spans="1:8" x14ac:dyDescent="0.2">
      <c r="A56" s="158">
        <f>+A55+1</f>
        <v>26</v>
      </c>
      <c r="B56" s="198" t="s">
        <v>90</v>
      </c>
      <c r="C56" s="199">
        <v>1</v>
      </c>
      <c r="D56" s="206" t="s">
        <v>77</v>
      </c>
      <c r="E56" s="162"/>
      <c r="F56" s="200">
        <v>2305292.3308249991</v>
      </c>
      <c r="G56" s="209">
        <f t="shared" si="2"/>
        <v>2305292.3308249991</v>
      </c>
      <c r="H56" s="201"/>
    </row>
    <row r="57" spans="1:8" ht="25.5" x14ac:dyDescent="0.2">
      <c r="A57" s="158">
        <f t="shared" si="1"/>
        <v>27</v>
      </c>
      <c r="B57" s="198" t="s">
        <v>91</v>
      </c>
      <c r="C57" s="199">
        <v>2</v>
      </c>
      <c r="D57" s="206" t="s">
        <v>77</v>
      </c>
      <c r="E57" s="162" t="s">
        <v>157</v>
      </c>
      <c r="F57" s="200">
        <v>1216800</v>
      </c>
      <c r="G57" s="209">
        <f t="shared" si="2"/>
        <v>2433600</v>
      </c>
      <c r="H57" s="201"/>
    </row>
    <row r="58" spans="1:8" x14ac:dyDescent="0.2">
      <c r="A58" s="158">
        <f t="shared" si="1"/>
        <v>28</v>
      </c>
      <c r="B58" s="198" t="s">
        <v>92</v>
      </c>
      <c r="C58" s="199">
        <v>1</v>
      </c>
      <c r="D58" s="206" t="s">
        <v>77</v>
      </c>
      <c r="E58" s="162"/>
      <c r="F58" s="200">
        <v>2305292.3308249991</v>
      </c>
      <c r="G58" s="209">
        <f t="shared" si="2"/>
        <v>2305292.3308249991</v>
      </c>
      <c r="H58" s="201"/>
    </row>
    <row r="59" spans="1:8" ht="25.5" x14ac:dyDescent="0.2">
      <c r="A59" s="158">
        <f t="shared" si="1"/>
        <v>29</v>
      </c>
      <c r="B59" s="198" t="s">
        <v>93</v>
      </c>
      <c r="C59" s="199">
        <v>1</v>
      </c>
      <c r="D59" s="206" t="s">
        <v>77</v>
      </c>
      <c r="E59" s="162" t="s">
        <v>157</v>
      </c>
      <c r="F59" s="200">
        <v>874640</v>
      </c>
      <c r="G59" s="209">
        <f t="shared" si="2"/>
        <v>874640</v>
      </c>
      <c r="H59" s="201"/>
    </row>
    <row r="60" spans="1:8" x14ac:dyDescent="0.2">
      <c r="A60" s="158">
        <f t="shared" si="1"/>
        <v>30</v>
      </c>
      <c r="B60" s="198" t="s">
        <v>94</v>
      </c>
      <c r="C60" s="199">
        <v>1</v>
      </c>
      <c r="D60" s="206" t="s">
        <v>77</v>
      </c>
      <c r="E60" s="162"/>
      <c r="F60" s="200">
        <v>2305292.3308249991</v>
      </c>
      <c r="G60" s="209">
        <f t="shared" si="2"/>
        <v>2305292.3308249991</v>
      </c>
      <c r="H60" s="201"/>
    </row>
    <row r="61" spans="1:8" ht="25.5" x14ac:dyDescent="0.2">
      <c r="A61" s="158">
        <f t="shared" si="1"/>
        <v>31</v>
      </c>
      <c r="B61" s="198" t="s">
        <v>95</v>
      </c>
      <c r="C61" s="199">
        <v>1</v>
      </c>
      <c r="D61" s="206" t="s">
        <v>77</v>
      </c>
      <c r="E61" s="162" t="s">
        <v>157</v>
      </c>
      <c r="F61" s="200">
        <v>2730000</v>
      </c>
      <c r="G61" s="209">
        <f t="shared" si="2"/>
        <v>2730000</v>
      </c>
      <c r="H61" s="201"/>
    </row>
    <row r="62" spans="1:8" x14ac:dyDescent="0.2">
      <c r="A62" s="158">
        <f t="shared" si="1"/>
        <v>32</v>
      </c>
      <c r="B62" s="198" t="s">
        <v>96</v>
      </c>
      <c r="C62" s="199">
        <v>1</v>
      </c>
      <c r="D62" s="206" t="s">
        <v>77</v>
      </c>
      <c r="E62" s="162"/>
      <c r="F62" s="200">
        <v>263900</v>
      </c>
      <c r="G62" s="209">
        <f t="shared" si="2"/>
        <v>263900</v>
      </c>
      <c r="H62" s="201"/>
    </row>
    <row r="63" spans="1:8" x14ac:dyDescent="0.2">
      <c r="A63" s="158">
        <f t="shared" si="1"/>
        <v>33</v>
      </c>
      <c r="B63" s="198" t="s">
        <v>97</v>
      </c>
      <c r="C63" s="199">
        <v>1</v>
      </c>
      <c r="D63" s="206" t="s">
        <v>77</v>
      </c>
      <c r="E63" s="162"/>
      <c r="F63" s="200">
        <v>455000</v>
      </c>
      <c r="G63" s="209">
        <f t="shared" si="2"/>
        <v>455000</v>
      </c>
      <c r="H63" s="201"/>
    </row>
    <row r="64" spans="1:8" x14ac:dyDescent="0.2">
      <c r="A64" s="158">
        <f t="shared" si="1"/>
        <v>34</v>
      </c>
      <c r="B64" s="198" t="s">
        <v>98</v>
      </c>
      <c r="C64" s="199">
        <v>1</v>
      </c>
      <c r="D64" s="206" t="s">
        <v>77</v>
      </c>
      <c r="E64" s="162"/>
      <c r="F64" s="200">
        <v>728000</v>
      </c>
      <c r="G64" s="209">
        <f t="shared" si="2"/>
        <v>728000</v>
      </c>
      <c r="H64" s="201"/>
    </row>
    <row r="65" spans="1:8" x14ac:dyDescent="0.2">
      <c r="A65" s="158">
        <f t="shared" si="1"/>
        <v>35</v>
      </c>
      <c r="B65" s="198" t="s">
        <v>99</v>
      </c>
      <c r="C65" s="199">
        <v>1</v>
      </c>
      <c r="D65" s="206" t="s">
        <v>77</v>
      </c>
      <c r="E65" s="162"/>
      <c r="F65" s="200">
        <v>874640</v>
      </c>
      <c r="G65" s="209">
        <f t="shared" si="2"/>
        <v>874640</v>
      </c>
      <c r="H65" s="201"/>
    </row>
    <row r="66" spans="1:8" x14ac:dyDescent="0.2">
      <c r="A66" s="158">
        <f t="shared" si="1"/>
        <v>36</v>
      </c>
      <c r="B66" s="198" t="s">
        <v>100</v>
      </c>
      <c r="C66" s="199">
        <v>1</v>
      </c>
      <c r="D66" s="199" t="s">
        <v>77</v>
      </c>
      <c r="E66" s="162"/>
      <c r="F66" s="200">
        <v>1216800</v>
      </c>
      <c r="G66" s="209">
        <f t="shared" si="2"/>
        <v>1216800</v>
      </c>
      <c r="H66" s="201"/>
    </row>
    <row r="67" spans="1:8" x14ac:dyDescent="0.2">
      <c r="A67" s="158">
        <f t="shared" si="1"/>
        <v>37</v>
      </c>
      <c r="B67" s="198" t="s">
        <v>155</v>
      </c>
      <c r="C67" s="199">
        <v>5000</v>
      </c>
      <c r="D67" s="206"/>
      <c r="E67" s="162"/>
      <c r="F67" s="200">
        <v>1430</v>
      </c>
      <c r="G67" s="209">
        <f t="shared" si="2"/>
        <v>7150000</v>
      </c>
      <c r="H67" s="201" t="s">
        <v>205</v>
      </c>
    </row>
    <row r="68" spans="1:8" ht="14.25" customHeight="1" x14ac:dyDescent="0.2">
      <c r="A68" s="143"/>
      <c r="B68" s="552" t="s">
        <v>178</v>
      </c>
      <c r="C68" s="553"/>
      <c r="D68" s="553"/>
      <c r="E68" s="553"/>
      <c r="F68" s="553"/>
      <c r="G68" s="554"/>
      <c r="H68" s="210"/>
    </row>
    <row r="69" spans="1:8" x14ac:dyDescent="0.2">
      <c r="A69" s="158">
        <v>1</v>
      </c>
      <c r="B69" s="198" t="s">
        <v>213</v>
      </c>
      <c r="C69" s="207">
        <v>58500</v>
      </c>
      <c r="D69" s="206" t="s">
        <v>77</v>
      </c>
      <c r="E69" s="162"/>
      <c r="F69" s="200">
        <v>364</v>
      </c>
      <c r="G69" s="209">
        <f t="shared" ref="G69:G77" si="3">+F69*C69</f>
        <v>21294000</v>
      </c>
      <c r="H69" s="201" t="s">
        <v>205</v>
      </c>
    </row>
    <row r="70" spans="1:8" x14ac:dyDescent="0.2">
      <c r="A70" s="158">
        <v>2</v>
      </c>
      <c r="B70" s="198" t="s">
        <v>163</v>
      </c>
      <c r="C70" s="207"/>
      <c r="D70" s="206" t="s">
        <v>77</v>
      </c>
      <c r="E70" s="162"/>
      <c r="F70" s="200">
        <v>3197182.3993580537</v>
      </c>
      <c r="G70" s="209">
        <f t="shared" si="3"/>
        <v>0</v>
      </c>
      <c r="H70" s="206" t="s">
        <v>77</v>
      </c>
    </row>
    <row r="71" spans="1:8" x14ac:dyDescent="0.2">
      <c r="A71" s="158">
        <v>3</v>
      </c>
      <c r="B71" s="198" t="s">
        <v>166</v>
      </c>
      <c r="C71" s="207">
        <v>29250</v>
      </c>
      <c r="D71" s="206" t="s">
        <v>77</v>
      </c>
      <c r="E71" s="162"/>
      <c r="F71" s="200">
        <v>2990</v>
      </c>
      <c r="G71" s="209">
        <f t="shared" si="3"/>
        <v>87457500</v>
      </c>
      <c r="H71" s="201"/>
    </row>
    <row r="72" spans="1:8" ht="30.75" customHeight="1" x14ac:dyDescent="0.2">
      <c r="A72" s="158">
        <v>4</v>
      </c>
      <c r="B72" s="198" t="s">
        <v>165</v>
      </c>
      <c r="C72" s="207"/>
      <c r="D72" s="206"/>
      <c r="E72" s="162"/>
      <c r="F72" s="200">
        <v>1022163.3362408016</v>
      </c>
      <c r="G72" s="209">
        <f t="shared" si="3"/>
        <v>0</v>
      </c>
      <c r="H72" s="201" t="s">
        <v>205</v>
      </c>
    </row>
    <row r="73" spans="1:8" ht="27.75" customHeight="1" x14ac:dyDescent="0.2">
      <c r="A73" s="158">
        <v>5</v>
      </c>
      <c r="B73" s="198" t="s">
        <v>168</v>
      </c>
      <c r="C73" s="207">
        <v>29250</v>
      </c>
      <c r="D73" s="206" t="s">
        <v>77</v>
      </c>
      <c r="E73" s="162"/>
      <c r="F73" s="200">
        <v>325</v>
      </c>
      <c r="G73" s="209">
        <f t="shared" si="3"/>
        <v>9506250</v>
      </c>
      <c r="H73" s="201" t="s">
        <v>205</v>
      </c>
    </row>
    <row r="74" spans="1:8" ht="30" customHeight="1" x14ac:dyDescent="0.2">
      <c r="A74" s="158">
        <v>6</v>
      </c>
      <c r="B74" s="198" t="s">
        <v>167</v>
      </c>
      <c r="C74" s="207"/>
      <c r="D74" s="206"/>
      <c r="E74" s="162"/>
      <c r="F74" s="200">
        <v>3200214.8770128721</v>
      </c>
      <c r="G74" s="209">
        <f t="shared" si="3"/>
        <v>0</v>
      </c>
      <c r="H74" s="201"/>
    </row>
    <row r="75" spans="1:8" x14ac:dyDescent="0.2">
      <c r="A75" s="158">
        <v>7</v>
      </c>
      <c r="B75" s="198" t="s">
        <v>149</v>
      </c>
      <c r="C75" s="207">
        <v>29250</v>
      </c>
      <c r="D75" s="206" t="s">
        <v>77</v>
      </c>
      <c r="E75" s="162"/>
      <c r="F75" s="200">
        <v>26000</v>
      </c>
      <c r="G75" s="209">
        <f t="shared" si="3"/>
        <v>760500000</v>
      </c>
      <c r="H75" s="201" t="s">
        <v>205</v>
      </c>
    </row>
    <row r="76" spans="1:8" ht="12.75" customHeight="1" x14ac:dyDescent="0.2">
      <c r="A76" s="158">
        <v>8</v>
      </c>
      <c r="B76" s="198" t="s">
        <v>150</v>
      </c>
      <c r="C76" s="207">
        <v>29250</v>
      </c>
      <c r="D76" s="206" t="s">
        <v>77</v>
      </c>
      <c r="E76" s="162"/>
      <c r="F76" s="200">
        <v>650</v>
      </c>
      <c r="G76" s="209">
        <f t="shared" si="3"/>
        <v>19012500</v>
      </c>
      <c r="H76" s="201" t="s">
        <v>205</v>
      </c>
    </row>
    <row r="77" spans="1:8" ht="102" customHeight="1" x14ac:dyDescent="0.2">
      <c r="A77" s="146">
        <v>9</v>
      </c>
      <c r="B77" s="198" t="s">
        <v>76</v>
      </c>
      <c r="C77" s="207">
        <v>29250</v>
      </c>
      <c r="D77" s="206" t="s">
        <v>77</v>
      </c>
      <c r="E77" s="201" t="s">
        <v>159</v>
      </c>
      <c r="F77" s="200">
        <v>5000</v>
      </c>
      <c r="G77" s="200">
        <f t="shared" si="3"/>
        <v>146250000</v>
      </c>
      <c r="H77" s="201" t="s">
        <v>214</v>
      </c>
    </row>
    <row r="78" spans="1:8" ht="14.25" customHeight="1" x14ac:dyDescent="0.2">
      <c r="A78" s="143"/>
      <c r="B78" s="193" t="s">
        <v>179</v>
      </c>
      <c r="C78" s="195"/>
      <c r="D78" s="196"/>
      <c r="E78" s="145"/>
      <c r="F78" s="196"/>
      <c r="G78" s="197"/>
      <c r="H78" s="210"/>
    </row>
    <row r="79" spans="1:8" ht="25.5" x14ac:dyDescent="0.2">
      <c r="A79" s="158" t="s">
        <v>180</v>
      </c>
      <c r="B79" s="198" t="s">
        <v>143</v>
      </c>
      <c r="C79" s="199">
        <v>1</v>
      </c>
      <c r="D79" s="206" t="s">
        <v>106</v>
      </c>
      <c r="E79" s="162" t="s">
        <v>130</v>
      </c>
      <c r="F79" s="200">
        <v>15080000</v>
      </c>
      <c r="G79" s="209">
        <f>+F79*C79</f>
        <v>15080000</v>
      </c>
      <c r="H79" s="201" t="s">
        <v>215</v>
      </c>
    </row>
    <row r="80" spans="1:8" x14ac:dyDescent="0.2">
      <c r="A80" s="158" t="s">
        <v>181</v>
      </c>
      <c r="B80" s="198" t="s">
        <v>118</v>
      </c>
      <c r="C80" s="199">
        <v>1</v>
      </c>
      <c r="D80" s="206" t="s">
        <v>119</v>
      </c>
      <c r="E80" s="163" t="s">
        <v>109</v>
      </c>
      <c r="F80" s="200">
        <v>37700000</v>
      </c>
      <c r="G80" s="209">
        <f>+F80*C80</f>
        <v>37700000</v>
      </c>
      <c r="H80" s="201"/>
    </row>
    <row r="81" spans="1:8" ht="42" customHeight="1" x14ac:dyDescent="0.2">
      <c r="A81" s="158" t="s">
        <v>182</v>
      </c>
      <c r="B81" s="198" t="s">
        <v>120</v>
      </c>
      <c r="C81" s="207">
        <v>4000</v>
      </c>
      <c r="D81" s="206" t="s">
        <v>108</v>
      </c>
      <c r="E81" s="164" t="s">
        <v>158</v>
      </c>
      <c r="F81" s="200">
        <v>754</v>
      </c>
      <c r="G81" s="209">
        <f>+F81*C81</f>
        <v>3016000</v>
      </c>
      <c r="H81" s="201"/>
    </row>
    <row r="82" spans="1:8" x14ac:dyDescent="0.2">
      <c r="A82" s="143"/>
      <c r="B82" s="211" t="s">
        <v>121</v>
      </c>
      <c r="C82" s="195"/>
      <c r="D82" s="196"/>
      <c r="E82" s="145"/>
      <c r="F82" s="196"/>
      <c r="G82" s="197"/>
      <c r="H82" s="201"/>
    </row>
    <row r="83" spans="1:8" x14ac:dyDescent="0.2">
      <c r="A83" s="158"/>
      <c r="B83" s="198" t="s">
        <v>122</v>
      </c>
      <c r="C83" s="199"/>
      <c r="D83" s="206"/>
      <c r="E83" s="162"/>
      <c r="F83" s="199"/>
      <c r="G83" s="209"/>
      <c r="H83" s="201"/>
    </row>
    <row r="84" spans="1:8" x14ac:dyDescent="0.2">
      <c r="A84" s="143"/>
      <c r="B84" s="211" t="s">
        <v>183</v>
      </c>
      <c r="C84" s="195"/>
      <c r="D84" s="196"/>
      <c r="E84" s="145"/>
      <c r="F84" s="196"/>
      <c r="G84" s="197"/>
      <c r="H84" s="210"/>
    </row>
    <row r="85" spans="1:8" ht="38.25" x14ac:dyDescent="0.2">
      <c r="A85" s="146" t="s">
        <v>184</v>
      </c>
      <c r="B85" s="198" t="s">
        <v>162</v>
      </c>
      <c r="C85" s="199">
        <v>1</v>
      </c>
      <c r="D85" s="206" t="s">
        <v>77</v>
      </c>
      <c r="E85" s="163" t="s">
        <v>169</v>
      </c>
      <c r="F85" s="200">
        <v>18096000</v>
      </c>
      <c r="G85" s="209">
        <f>+F85*C85</f>
        <v>18096000</v>
      </c>
      <c r="H85" s="201" t="s">
        <v>216</v>
      </c>
    </row>
    <row r="86" spans="1:8" x14ac:dyDescent="0.2">
      <c r="A86" s="167"/>
      <c r="B86" s="193" t="s">
        <v>185</v>
      </c>
      <c r="C86" s="195"/>
      <c r="D86" s="196"/>
      <c r="E86" s="170"/>
      <c r="F86" s="196"/>
      <c r="G86" s="205"/>
      <c r="H86" s="210"/>
    </row>
    <row r="87" spans="1:8" ht="169.5" customHeight="1" x14ac:dyDescent="0.2">
      <c r="A87" s="146">
        <v>2.6</v>
      </c>
      <c r="B87" s="198" t="s">
        <v>103</v>
      </c>
      <c r="C87" s="199">
        <v>10</v>
      </c>
      <c r="D87" s="199" t="s">
        <v>105</v>
      </c>
      <c r="E87" s="149" t="s">
        <v>104</v>
      </c>
      <c r="F87" s="200">
        <v>12064000</v>
      </c>
      <c r="G87" s="209">
        <f>+F87*C87</f>
        <v>120640000</v>
      </c>
      <c r="H87" s="201" t="s">
        <v>217</v>
      </c>
    </row>
  </sheetData>
  <mergeCells count="6">
    <mergeCell ref="B68:G68"/>
    <mergeCell ref="A8:G8"/>
    <mergeCell ref="H8:H11"/>
    <mergeCell ref="A9:B9"/>
    <mergeCell ref="A24:A26"/>
    <mergeCell ref="B24:B26"/>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9" zoomScale="80" zoomScaleNormal="80" zoomScalePageLayoutView="80"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4.5703125" style="174" customWidth="1"/>
    <col min="5" max="5" width="65.28515625" style="175" customWidth="1"/>
    <col min="6" max="6" width="13" style="137" customWidth="1"/>
    <col min="7" max="7" width="16.5703125" style="188" customWidth="1"/>
    <col min="8" max="8" width="14.28515625" style="137" customWidth="1"/>
    <col min="9" max="16384" width="10.85546875" style="137"/>
  </cols>
  <sheetData>
    <row r="1" spans="1:7" x14ac:dyDescent="0.2">
      <c r="B1" s="176" t="s">
        <v>195</v>
      </c>
      <c r="E1" s="175" t="s">
        <v>226</v>
      </c>
    </row>
    <row r="2" spans="1:7" x14ac:dyDescent="0.2">
      <c r="B2" s="176" t="s">
        <v>196</v>
      </c>
      <c r="E2" s="175" t="s">
        <v>227</v>
      </c>
    </row>
    <row r="3" spans="1:7" x14ac:dyDescent="0.2">
      <c r="B3" s="176" t="s">
        <v>197</v>
      </c>
    </row>
    <row r="4" spans="1:7" x14ac:dyDescent="0.2">
      <c r="B4" s="177" t="s">
        <v>161</v>
      </c>
    </row>
    <row r="5" spans="1:7" x14ac:dyDescent="0.2">
      <c r="B5" s="176" t="s">
        <v>160</v>
      </c>
    </row>
    <row r="6" spans="1:7" x14ac:dyDescent="0.2">
      <c r="B6" s="176" t="s">
        <v>198</v>
      </c>
      <c r="E6" s="175" t="s">
        <v>228</v>
      </c>
    </row>
    <row r="8" spans="1:7" ht="15" customHeight="1" x14ac:dyDescent="0.2">
      <c r="A8" s="545" t="s">
        <v>102</v>
      </c>
      <c r="B8" s="545"/>
      <c r="C8" s="545"/>
      <c r="D8" s="545"/>
      <c r="E8" s="545"/>
      <c r="F8" s="545"/>
      <c r="G8" s="545"/>
    </row>
    <row r="9" spans="1:7" ht="38.25" x14ac:dyDescent="0.2">
      <c r="A9" s="546" t="s">
        <v>62</v>
      </c>
      <c r="B9" s="547"/>
      <c r="C9" s="139" t="s">
        <v>63</v>
      </c>
      <c r="D9" s="220" t="s">
        <v>64</v>
      </c>
      <c r="E9" s="220" t="s">
        <v>65</v>
      </c>
      <c r="F9" s="191" t="s">
        <v>101</v>
      </c>
      <c r="G9" s="192" t="s">
        <v>61</v>
      </c>
    </row>
    <row r="10" spans="1:7" x14ac:dyDescent="0.2">
      <c r="A10" s="141"/>
      <c r="B10" s="142" t="s">
        <v>117</v>
      </c>
      <c r="C10" s="138"/>
      <c r="D10" s="139"/>
      <c r="E10" s="220"/>
      <c r="F10" s="191"/>
      <c r="G10" s="192"/>
    </row>
    <row r="11" spans="1:7" x14ac:dyDescent="0.2">
      <c r="A11" s="143" t="s">
        <v>129</v>
      </c>
      <c r="B11" s="142" t="s">
        <v>170</v>
      </c>
      <c r="C11" s="144"/>
      <c r="D11" s="142"/>
      <c r="E11" s="145"/>
      <c r="F11" s="145"/>
      <c r="G11" s="197"/>
    </row>
    <row r="12" spans="1:7" ht="87" customHeight="1" x14ac:dyDescent="0.2">
      <c r="A12" s="146" t="s">
        <v>171</v>
      </c>
      <c r="B12" s="147" t="s">
        <v>127</v>
      </c>
      <c r="C12" s="199">
        <v>3</v>
      </c>
      <c r="D12" s="199" t="s">
        <v>111</v>
      </c>
      <c r="E12" s="149" t="s">
        <v>131</v>
      </c>
      <c r="F12" s="198">
        <v>34800000</v>
      </c>
      <c r="G12" s="223">
        <f>+F12*C12</f>
        <v>104400000</v>
      </c>
    </row>
    <row r="13" spans="1:7" ht="85.5" customHeight="1" x14ac:dyDescent="0.2">
      <c r="A13" s="150" t="s">
        <v>171</v>
      </c>
      <c r="B13" s="147" t="s">
        <v>128</v>
      </c>
      <c r="C13" s="199">
        <v>2</v>
      </c>
      <c r="D13" s="199" t="s">
        <v>111</v>
      </c>
      <c r="E13" s="149" t="s">
        <v>132</v>
      </c>
      <c r="F13" s="198">
        <v>31320000</v>
      </c>
      <c r="G13" s="223">
        <f t="shared" ref="G13:G74" si="0">+F13*C13</f>
        <v>62640000</v>
      </c>
    </row>
    <row r="14" spans="1:7" ht="155.25" customHeight="1" x14ac:dyDescent="0.2">
      <c r="A14" s="150" t="s">
        <v>171</v>
      </c>
      <c r="B14" s="147" t="s">
        <v>186</v>
      </c>
      <c r="C14" s="199">
        <v>5</v>
      </c>
      <c r="D14" s="199" t="s">
        <v>110</v>
      </c>
      <c r="E14" s="149" t="s">
        <v>136</v>
      </c>
      <c r="F14" s="198">
        <v>7888000</v>
      </c>
      <c r="G14" s="223">
        <f t="shared" si="0"/>
        <v>39440000</v>
      </c>
    </row>
    <row r="15" spans="1:7" ht="150" customHeight="1" x14ac:dyDescent="0.2">
      <c r="A15" s="146" t="s">
        <v>171</v>
      </c>
      <c r="B15" s="147" t="s">
        <v>187</v>
      </c>
      <c r="C15" s="199">
        <v>5</v>
      </c>
      <c r="D15" s="199" t="s">
        <v>110</v>
      </c>
      <c r="E15" s="149" t="s">
        <v>112</v>
      </c>
      <c r="F15" s="198">
        <v>9280000</v>
      </c>
      <c r="G15" s="223">
        <f t="shared" si="0"/>
        <v>46400000</v>
      </c>
    </row>
    <row r="16" spans="1:7" ht="36.75" customHeight="1" x14ac:dyDescent="0.2">
      <c r="A16" s="146" t="s">
        <v>172</v>
      </c>
      <c r="B16" s="147" t="s">
        <v>113</v>
      </c>
      <c r="C16" s="199">
        <v>6</v>
      </c>
      <c r="D16" s="199" t="s">
        <v>114</v>
      </c>
      <c r="E16" s="149" t="s">
        <v>115</v>
      </c>
      <c r="F16" s="198">
        <v>87000000</v>
      </c>
      <c r="G16" s="223">
        <f t="shared" si="0"/>
        <v>522000000</v>
      </c>
    </row>
    <row r="17" spans="1:7" ht="37.5" customHeight="1" x14ac:dyDescent="0.2">
      <c r="A17" s="146" t="s">
        <v>173</v>
      </c>
      <c r="B17" s="147" t="s">
        <v>107</v>
      </c>
      <c r="C17" s="199">
        <v>16</v>
      </c>
      <c r="D17" s="199" t="s">
        <v>123</v>
      </c>
      <c r="E17" s="149" t="s">
        <v>116</v>
      </c>
      <c r="F17" s="198">
        <v>29000000</v>
      </c>
      <c r="G17" s="223">
        <f t="shared" si="0"/>
        <v>464000000</v>
      </c>
    </row>
    <row r="18" spans="1:7" ht="285.75" customHeight="1" x14ac:dyDescent="0.2">
      <c r="A18" s="152" t="s">
        <v>174</v>
      </c>
      <c r="B18" s="147" t="s">
        <v>151</v>
      </c>
      <c r="C18" s="199">
        <v>2</v>
      </c>
      <c r="D18" s="199" t="s">
        <v>145</v>
      </c>
      <c r="E18" s="149" t="s">
        <v>152</v>
      </c>
      <c r="F18" s="198">
        <v>17400000</v>
      </c>
      <c r="G18" s="223">
        <f t="shared" si="0"/>
        <v>34800000</v>
      </c>
    </row>
    <row r="19" spans="1:7" ht="282" customHeight="1" x14ac:dyDescent="0.2">
      <c r="A19" s="152">
        <v>2.4</v>
      </c>
      <c r="B19" s="147" t="s">
        <v>176</v>
      </c>
      <c r="C19" s="199">
        <v>2</v>
      </c>
      <c r="D19" s="199" t="s">
        <v>145</v>
      </c>
      <c r="E19" s="149" t="s">
        <v>175</v>
      </c>
      <c r="F19" s="198">
        <v>14160000</v>
      </c>
      <c r="G19" s="223">
        <f t="shared" si="0"/>
        <v>28320000</v>
      </c>
    </row>
    <row r="20" spans="1:7" ht="291" customHeight="1" thickBot="1" x14ac:dyDescent="0.25">
      <c r="A20" s="152">
        <v>2.4</v>
      </c>
      <c r="B20" s="147" t="s">
        <v>153</v>
      </c>
      <c r="C20" s="199">
        <v>2</v>
      </c>
      <c r="D20" s="199" t="s">
        <v>145</v>
      </c>
      <c r="E20" s="149" t="s">
        <v>154</v>
      </c>
      <c r="F20" s="204">
        <v>23200000</v>
      </c>
      <c r="G20" s="223">
        <f t="shared" si="0"/>
        <v>46400000</v>
      </c>
    </row>
    <row r="21" spans="1:7" ht="55.5" customHeight="1" x14ac:dyDescent="0.2">
      <c r="A21" s="152">
        <v>2</v>
      </c>
      <c r="B21" s="147" t="s">
        <v>144</v>
      </c>
      <c r="C21" s="202">
        <v>10</v>
      </c>
      <c r="D21" s="202" t="s">
        <v>145</v>
      </c>
      <c r="E21" s="147" t="s">
        <v>146</v>
      </c>
      <c r="F21" s="224">
        <v>348000</v>
      </c>
      <c r="G21" s="223">
        <f t="shared" si="0"/>
        <v>3480000</v>
      </c>
    </row>
    <row r="22" spans="1:7" ht="216.75" customHeight="1" x14ac:dyDescent="0.2">
      <c r="A22" s="152">
        <v>2.1</v>
      </c>
      <c r="B22" s="147" t="s">
        <v>203</v>
      </c>
      <c r="C22" s="202">
        <v>48</v>
      </c>
      <c r="D22" s="202" t="s">
        <v>145</v>
      </c>
      <c r="E22" s="147" t="s">
        <v>147</v>
      </c>
      <c r="F22" s="208">
        <v>1160000</v>
      </c>
      <c r="G22" s="223">
        <f t="shared" si="0"/>
        <v>55680000</v>
      </c>
    </row>
    <row r="23" spans="1:7" ht="68.25" customHeight="1" x14ac:dyDescent="0.2">
      <c r="A23" s="152">
        <v>2.1</v>
      </c>
      <c r="B23" s="147" t="s">
        <v>148</v>
      </c>
      <c r="C23" s="202">
        <v>8</v>
      </c>
      <c r="D23" s="202" t="s">
        <v>145</v>
      </c>
      <c r="E23" s="147" t="s">
        <v>66</v>
      </c>
      <c r="F23" s="225">
        <v>8921000</v>
      </c>
      <c r="G23" s="223">
        <f t="shared" si="0"/>
        <v>71368000</v>
      </c>
    </row>
    <row r="24" spans="1:7" x14ac:dyDescent="0.2">
      <c r="A24" s="548">
        <v>2.1</v>
      </c>
      <c r="B24" s="551" t="s">
        <v>67</v>
      </c>
      <c r="C24" s="203">
        <v>8</v>
      </c>
      <c r="D24" s="199" t="s">
        <v>145</v>
      </c>
      <c r="E24" s="155" t="s">
        <v>68</v>
      </c>
      <c r="F24" s="226">
        <v>250000</v>
      </c>
      <c r="G24" s="223">
        <f t="shared" si="0"/>
        <v>2000000</v>
      </c>
    </row>
    <row r="25" spans="1:7" x14ac:dyDescent="0.2">
      <c r="A25" s="549"/>
      <c r="B25" s="551"/>
      <c r="C25" s="203">
        <v>8</v>
      </c>
      <c r="D25" s="199" t="s">
        <v>145</v>
      </c>
      <c r="E25" s="155" t="s">
        <v>69</v>
      </c>
      <c r="F25" s="226">
        <v>250000</v>
      </c>
      <c r="G25" s="223">
        <f t="shared" si="0"/>
        <v>2000000</v>
      </c>
    </row>
    <row r="26" spans="1:7" x14ac:dyDescent="0.2">
      <c r="A26" s="550"/>
      <c r="B26" s="551"/>
      <c r="C26" s="203">
        <v>8</v>
      </c>
      <c r="D26" s="199" t="s">
        <v>145</v>
      </c>
      <c r="E26" s="155" t="s">
        <v>70</v>
      </c>
      <c r="F26" s="226">
        <v>250000</v>
      </c>
      <c r="G26" s="223">
        <f t="shared" si="0"/>
        <v>2000000</v>
      </c>
    </row>
    <row r="27" spans="1:7" x14ac:dyDescent="0.2">
      <c r="A27" s="152">
        <v>2.1</v>
      </c>
      <c r="B27" s="156" t="s">
        <v>71</v>
      </c>
      <c r="C27" s="199">
        <v>8</v>
      </c>
      <c r="D27" s="199" t="s">
        <v>145</v>
      </c>
      <c r="E27" s="156" t="s">
        <v>72</v>
      </c>
      <c r="F27" s="226">
        <v>17325000</v>
      </c>
      <c r="G27" s="223">
        <f t="shared" si="0"/>
        <v>138600000</v>
      </c>
    </row>
    <row r="28" spans="1:7" ht="15.75" customHeight="1" x14ac:dyDescent="0.2">
      <c r="A28" s="152">
        <v>2.1</v>
      </c>
      <c r="B28" s="156" t="s">
        <v>71</v>
      </c>
      <c r="C28" s="199">
        <v>8</v>
      </c>
      <c r="D28" s="199" t="s">
        <v>145</v>
      </c>
      <c r="E28" s="156" t="s">
        <v>72</v>
      </c>
      <c r="F28" s="226">
        <v>17325000</v>
      </c>
      <c r="G28" s="223">
        <f t="shared" si="0"/>
        <v>138600000</v>
      </c>
    </row>
    <row r="29" spans="1:7" x14ac:dyDescent="0.2">
      <c r="A29" s="152">
        <v>2.1</v>
      </c>
      <c r="B29" s="157" t="s">
        <v>73</v>
      </c>
      <c r="C29" s="199">
        <v>8</v>
      </c>
      <c r="D29" s="199" t="s">
        <v>75</v>
      </c>
      <c r="E29" s="162" t="s">
        <v>74</v>
      </c>
      <c r="F29" s="226">
        <v>535500</v>
      </c>
      <c r="G29" s="223">
        <f t="shared" si="0"/>
        <v>4284000</v>
      </c>
    </row>
    <row r="30" spans="1:7" x14ac:dyDescent="0.2">
      <c r="A30" s="143"/>
      <c r="B30" s="142" t="s">
        <v>177</v>
      </c>
      <c r="C30" s="195"/>
      <c r="D30" s="196"/>
      <c r="E30" s="145"/>
      <c r="F30" s="145"/>
      <c r="G30" s="205"/>
    </row>
    <row r="31" spans="1:7" x14ac:dyDescent="0.2">
      <c r="A31" s="158">
        <v>1</v>
      </c>
      <c r="B31" s="156" t="s">
        <v>78</v>
      </c>
      <c r="C31" s="199">
        <v>1</v>
      </c>
      <c r="D31" s="206" t="s">
        <v>77</v>
      </c>
      <c r="E31" s="162"/>
      <c r="F31" s="227">
        <v>796700</v>
      </c>
      <c r="G31" s="223">
        <f t="shared" si="0"/>
        <v>796700</v>
      </c>
    </row>
    <row r="32" spans="1:7" x14ac:dyDescent="0.2">
      <c r="A32" s="158">
        <f t="shared" ref="A32:A67" si="1">+A31+1</f>
        <v>2</v>
      </c>
      <c r="B32" s="156" t="s">
        <v>79</v>
      </c>
      <c r="C32" s="207">
        <v>30000</v>
      </c>
      <c r="D32" s="206" t="s">
        <v>77</v>
      </c>
      <c r="E32" s="162"/>
      <c r="F32" s="227">
        <v>134.6</v>
      </c>
      <c r="G32" s="223">
        <f t="shared" si="0"/>
        <v>4038000</v>
      </c>
    </row>
    <row r="33" spans="1:7" x14ac:dyDescent="0.2">
      <c r="A33" s="158">
        <f t="shared" si="1"/>
        <v>3</v>
      </c>
      <c r="B33" s="156" t="s">
        <v>80</v>
      </c>
      <c r="C33" s="199">
        <v>1</v>
      </c>
      <c r="D33" s="206" t="s">
        <v>77</v>
      </c>
      <c r="E33" s="162"/>
      <c r="F33" s="227">
        <v>1849483</v>
      </c>
      <c r="G33" s="228">
        <f t="shared" si="0"/>
        <v>1849483</v>
      </c>
    </row>
    <row r="34" spans="1:7" x14ac:dyDescent="0.2">
      <c r="A34" s="158">
        <f t="shared" si="1"/>
        <v>4</v>
      </c>
      <c r="B34" s="156" t="s">
        <v>81</v>
      </c>
      <c r="C34" s="199">
        <v>2</v>
      </c>
      <c r="D34" s="206" t="s">
        <v>77</v>
      </c>
      <c r="E34" s="162"/>
      <c r="F34" s="227">
        <v>1223504</v>
      </c>
      <c r="G34" s="228">
        <f t="shared" si="0"/>
        <v>2447008</v>
      </c>
    </row>
    <row r="35" spans="1:7" x14ac:dyDescent="0.2">
      <c r="A35" s="158">
        <f t="shared" si="1"/>
        <v>5</v>
      </c>
      <c r="B35" s="156" t="s">
        <v>82</v>
      </c>
      <c r="C35" s="199">
        <v>4</v>
      </c>
      <c r="D35" s="206" t="s">
        <v>77</v>
      </c>
      <c r="E35" s="162"/>
      <c r="F35" s="227">
        <v>910514</v>
      </c>
      <c r="G35" s="228">
        <f t="shared" si="0"/>
        <v>3642056</v>
      </c>
    </row>
    <row r="36" spans="1:7" x14ac:dyDescent="0.2">
      <c r="A36" s="158">
        <f t="shared" si="1"/>
        <v>6</v>
      </c>
      <c r="B36" s="156" t="s">
        <v>137</v>
      </c>
      <c r="C36" s="199">
        <v>4</v>
      </c>
      <c r="D36" s="206" t="s">
        <v>77</v>
      </c>
      <c r="E36" s="162"/>
      <c r="F36" s="227">
        <v>1327835</v>
      </c>
      <c r="G36" s="228">
        <f t="shared" si="0"/>
        <v>5311340</v>
      </c>
    </row>
    <row r="37" spans="1:7" x14ac:dyDescent="0.2">
      <c r="A37" s="158">
        <f t="shared" si="1"/>
        <v>7</v>
      </c>
      <c r="B37" s="156" t="s">
        <v>138</v>
      </c>
      <c r="C37" s="207">
        <v>40000</v>
      </c>
      <c r="D37" s="206" t="s">
        <v>77</v>
      </c>
      <c r="E37" s="162"/>
      <c r="F37" s="227">
        <v>169.36</v>
      </c>
      <c r="G37" s="228">
        <f t="shared" si="0"/>
        <v>6774400.0000000009</v>
      </c>
    </row>
    <row r="38" spans="1:7" x14ac:dyDescent="0.2">
      <c r="A38" s="158">
        <f t="shared" si="1"/>
        <v>8</v>
      </c>
      <c r="B38" s="156" t="s">
        <v>139</v>
      </c>
      <c r="C38" s="199">
        <v>2</v>
      </c>
      <c r="D38" s="206" t="s">
        <v>77</v>
      </c>
      <c r="E38" s="162"/>
      <c r="F38" s="227">
        <v>1991753</v>
      </c>
      <c r="G38" s="228">
        <f t="shared" si="0"/>
        <v>3983506</v>
      </c>
    </row>
    <row r="39" spans="1:7" x14ac:dyDescent="0.2">
      <c r="A39" s="158">
        <f t="shared" si="1"/>
        <v>9</v>
      </c>
      <c r="B39" s="156" t="s">
        <v>140</v>
      </c>
      <c r="C39" s="207">
        <v>20000</v>
      </c>
      <c r="D39" s="206" t="s">
        <v>77</v>
      </c>
      <c r="E39" s="162"/>
      <c r="F39" s="227">
        <v>563.76</v>
      </c>
      <c r="G39" s="228">
        <f t="shared" si="0"/>
        <v>11275200</v>
      </c>
    </row>
    <row r="40" spans="1:7" x14ac:dyDescent="0.2">
      <c r="A40" s="158">
        <f t="shared" si="1"/>
        <v>10</v>
      </c>
      <c r="B40" s="156" t="s">
        <v>141</v>
      </c>
      <c r="C40" s="199">
        <v>2</v>
      </c>
      <c r="D40" s="206" t="s">
        <v>77</v>
      </c>
      <c r="E40" s="162"/>
      <c r="F40" s="227">
        <v>2655671</v>
      </c>
      <c r="G40" s="228">
        <f t="shared" si="0"/>
        <v>5311342</v>
      </c>
    </row>
    <row r="41" spans="1:7" x14ac:dyDescent="0.2">
      <c r="A41" s="158">
        <f t="shared" si="1"/>
        <v>11</v>
      </c>
      <c r="B41" s="156" t="s">
        <v>142</v>
      </c>
      <c r="C41" s="207">
        <v>20000</v>
      </c>
      <c r="D41" s="206" t="s">
        <v>77</v>
      </c>
      <c r="E41" s="162"/>
      <c r="F41" s="227">
        <v>350.32</v>
      </c>
      <c r="G41" s="228">
        <f t="shared" si="0"/>
        <v>7006400</v>
      </c>
    </row>
    <row r="42" spans="1:7" x14ac:dyDescent="0.2">
      <c r="A42" s="158">
        <f t="shared" si="1"/>
        <v>12</v>
      </c>
      <c r="B42" s="156" t="s">
        <v>133</v>
      </c>
      <c r="C42" s="207">
        <v>5000</v>
      </c>
      <c r="D42" s="206" t="s">
        <v>77</v>
      </c>
      <c r="E42" s="162"/>
      <c r="F42" s="227">
        <v>1102</v>
      </c>
      <c r="G42" s="228">
        <f t="shared" si="0"/>
        <v>5510000</v>
      </c>
    </row>
    <row r="43" spans="1:7" x14ac:dyDescent="0.2">
      <c r="A43" s="158">
        <f t="shared" si="1"/>
        <v>13</v>
      </c>
      <c r="B43" s="156" t="s">
        <v>229</v>
      </c>
      <c r="C43" s="207">
        <v>1</v>
      </c>
      <c r="D43" s="206" t="s">
        <v>77</v>
      </c>
      <c r="E43" s="162"/>
      <c r="F43" s="227">
        <v>643886</v>
      </c>
      <c r="G43" s="228">
        <f t="shared" si="0"/>
        <v>643886</v>
      </c>
    </row>
    <row r="44" spans="1:7" x14ac:dyDescent="0.2">
      <c r="A44" s="158">
        <f>+A43+1</f>
        <v>14</v>
      </c>
      <c r="B44" s="156" t="s">
        <v>124</v>
      </c>
      <c r="C44" s="207">
        <v>1</v>
      </c>
      <c r="D44" s="206" t="s">
        <v>77</v>
      </c>
      <c r="E44" s="162"/>
      <c r="F44" s="227">
        <v>368000</v>
      </c>
      <c r="G44" s="228">
        <f t="shared" si="0"/>
        <v>368000</v>
      </c>
    </row>
    <row r="45" spans="1:7" x14ac:dyDescent="0.2">
      <c r="A45" s="158">
        <f t="shared" si="1"/>
        <v>15</v>
      </c>
      <c r="B45" s="161" t="s">
        <v>125</v>
      </c>
      <c r="C45" s="207">
        <v>5000</v>
      </c>
      <c r="D45" s="206" t="s">
        <v>77</v>
      </c>
      <c r="E45" s="162"/>
      <c r="F45" s="227">
        <v>13200</v>
      </c>
      <c r="G45" s="228">
        <f t="shared" si="0"/>
        <v>66000000</v>
      </c>
    </row>
    <row r="46" spans="1:7" x14ac:dyDescent="0.2">
      <c r="A46" s="158">
        <f t="shared" si="1"/>
        <v>16</v>
      </c>
      <c r="B46" s="161" t="s">
        <v>126</v>
      </c>
      <c r="C46" s="199">
        <v>1</v>
      </c>
      <c r="D46" s="206" t="s">
        <v>77</v>
      </c>
      <c r="E46" s="162"/>
      <c r="F46" s="227">
        <v>5121648</v>
      </c>
      <c r="G46" s="228">
        <f t="shared" si="0"/>
        <v>5121648</v>
      </c>
    </row>
    <row r="47" spans="1:7" x14ac:dyDescent="0.2">
      <c r="A47" s="158">
        <f t="shared" si="1"/>
        <v>17</v>
      </c>
      <c r="B47" s="161" t="s">
        <v>134</v>
      </c>
      <c r="C47" s="207">
        <v>5000</v>
      </c>
      <c r="D47" s="206" t="s">
        <v>77</v>
      </c>
      <c r="E47" s="162"/>
      <c r="F47" s="227">
        <v>2062.5</v>
      </c>
      <c r="G47" s="228">
        <f t="shared" si="0"/>
        <v>10312500</v>
      </c>
    </row>
    <row r="48" spans="1:7" x14ac:dyDescent="0.2">
      <c r="A48" s="158">
        <f t="shared" si="1"/>
        <v>18</v>
      </c>
      <c r="B48" s="156" t="s">
        <v>83</v>
      </c>
      <c r="C48" s="199">
        <v>5</v>
      </c>
      <c r="D48" s="206" t="s">
        <v>77</v>
      </c>
      <c r="E48" s="162"/>
      <c r="F48" s="227">
        <v>466639</v>
      </c>
      <c r="G48" s="228">
        <f t="shared" si="0"/>
        <v>2333195</v>
      </c>
    </row>
    <row r="49" spans="1:8" ht="25.5" x14ac:dyDescent="0.2">
      <c r="A49" s="158">
        <f t="shared" si="1"/>
        <v>19</v>
      </c>
      <c r="B49" s="156" t="s">
        <v>135</v>
      </c>
      <c r="C49" s="199">
        <v>40</v>
      </c>
      <c r="D49" s="206" t="s">
        <v>77</v>
      </c>
      <c r="E49" s="162" t="s">
        <v>156</v>
      </c>
      <c r="F49" s="227">
        <v>191400</v>
      </c>
      <c r="G49" s="228">
        <f t="shared" si="0"/>
        <v>7656000</v>
      </c>
    </row>
    <row r="50" spans="1:8" x14ac:dyDescent="0.2">
      <c r="A50" s="158">
        <f t="shared" si="1"/>
        <v>20</v>
      </c>
      <c r="B50" s="156" t="s">
        <v>84</v>
      </c>
      <c r="C50" s="199">
        <v>1</v>
      </c>
      <c r="D50" s="206" t="s">
        <v>77</v>
      </c>
      <c r="E50" s="162"/>
      <c r="F50" s="227">
        <v>466639</v>
      </c>
      <c r="G50" s="228">
        <f t="shared" si="0"/>
        <v>466639</v>
      </c>
    </row>
    <row r="51" spans="1:8" ht="25.5" x14ac:dyDescent="0.2">
      <c r="A51" s="158">
        <f t="shared" si="1"/>
        <v>21</v>
      </c>
      <c r="B51" s="156" t="s">
        <v>85</v>
      </c>
      <c r="C51" s="199">
        <v>2</v>
      </c>
      <c r="D51" s="206" t="s">
        <v>77</v>
      </c>
      <c r="E51" s="162" t="s">
        <v>156</v>
      </c>
      <c r="F51" s="227">
        <v>425000</v>
      </c>
      <c r="G51" s="228">
        <f t="shared" si="0"/>
        <v>850000</v>
      </c>
    </row>
    <row r="52" spans="1:8" x14ac:dyDescent="0.2">
      <c r="A52" s="158">
        <f t="shared" si="1"/>
        <v>22</v>
      </c>
      <c r="B52" s="156" t="s">
        <v>86</v>
      </c>
      <c r="C52" s="199">
        <v>1</v>
      </c>
      <c r="D52" s="206" t="s">
        <v>77</v>
      </c>
      <c r="E52" s="162"/>
      <c r="F52" s="227">
        <v>466639</v>
      </c>
      <c r="G52" s="228">
        <f t="shared" si="0"/>
        <v>466639</v>
      </c>
    </row>
    <row r="53" spans="1:8" ht="38.25" x14ac:dyDescent="0.2">
      <c r="A53" s="158">
        <f t="shared" si="1"/>
        <v>23</v>
      </c>
      <c r="B53" s="156" t="s">
        <v>87</v>
      </c>
      <c r="C53" s="199">
        <v>1</v>
      </c>
      <c r="D53" s="206" t="s">
        <v>77</v>
      </c>
      <c r="E53" s="162" t="s">
        <v>157</v>
      </c>
      <c r="F53" s="227">
        <v>87000</v>
      </c>
      <c r="G53" s="228">
        <f t="shared" si="0"/>
        <v>87000</v>
      </c>
      <c r="H53" s="137" t="s">
        <v>230</v>
      </c>
    </row>
    <row r="54" spans="1:8" x14ac:dyDescent="0.2">
      <c r="A54" s="158">
        <f t="shared" si="1"/>
        <v>24</v>
      </c>
      <c r="B54" s="156" t="s">
        <v>88</v>
      </c>
      <c r="C54" s="199">
        <v>1</v>
      </c>
      <c r="D54" s="206" t="s">
        <v>77</v>
      </c>
      <c r="E54" s="162"/>
      <c r="F54" s="227">
        <v>466639</v>
      </c>
      <c r="G54" s="228">
        <f t="shared" si="0"/>
        <v>466639</v>
      </c>
    </row>
    <row r="55" spans="1:8" ht="38.25" x14ac:dyDescent="0.2">
      <c r="A55" s="158">
        <f t="shared" si="1"/>
        <v>25</v>
      </c>
      <c r="B55" s="156" t="s">
        <v>89</v>
      </c>
      <c r="C55" s="199">
        <v>2</v>
      </c>
      <c r="D55" s="206" t="s">
        <v>77</v>
      </c>
      <c r="E55" s="162" t="s">
        <v>157</v>
      </c>
      <c r="F55" s="227">
        <v>174000</v>
      </c>
      <c r="G55" s="228">
        <f t="shared" si="0"/>
        <v>348000</v>
      </c>
      <c r="H55" s="137" t="s">
        <v>230</v>
      </c>
    </row>
    <row r="56" spans="1:8" x14ac:dyDescent="0.2">
      <c r="A56" s="158">
        <f>+A55+1</f>
        <v>26</v>
      </c>
      <c r="B56" s="156" t="s">
        <v>90</v>
      </c>
      <c r="C56" s="199">
        <v>1</v>
      </c>
      <c r="D56" s="206" t="s">
        <v>77</v>
      </c>
      <c r="E56" s="162"/>
      <c r="F56" s="227">
        <v>1079340</v>
      </c>
      <c r="G56" s="228">
        <f t="shared" si="0"/>
        <v>1079340</v>
      </c>
    </row>
    <row r="57" spans="1:8" ht="38.25" x14ac:dyDescent="0.2">
      <c r="A57" s="158">
        <f t="shared" si="1"/>
        <v>27</v>
      </c>
      <c r="B57" s="156" t="s">
        <v>91</v>
      </c>
      <c r="C57" s="199">
        <v>2</v>
      </c>
      <c r="D57" s="206" t="s">
        <v>77</v>
      </c>
      <c r="E57" s="162" t="s">
        <v>157</v>
      </c>
      <c r="F57" s="227">
        <v>261000</v>
      </c>
      <c r="G57" s="228">
        <f t="shared" si="0"/>
        <v>522000</v>
      </c>
      <c r="H57" s="137" t="s">
        <v>230</v>
      </c>
    </row>
    <row r="58" spans="1:8" x14ac:dyDescent="0.2">
      <c r="A58" s="158">
        <f t="shared" si="1"/>
        <v>28</v>
      </c>
      <c r="B58" s="156" t="s">
        <v>92</v>
      </c>
      <c r="C58" s="199">
        <v>1</v>
      </c>
      <c r="D58" s="206" t="s">
        <v>77</v>
      </c>
      <c r="E58" s="162"/>
      <c r="F58" s="227">
        <v>1079340</v>
      </c>
      <c r="G58" s="228">
        <f t="shared" si="0"/>
        <v>1079340</v>
      </c>
    </row>
    <row r="59" spans="1:8" ht="38.25" x14ac:dyDescent="0.2">
      <c r="A59" s="158">
        <f t="shared" si="1"/>
        <v>29</v>
      </c>
      <c r="B59" s="156" t="s">
        <v>93</v>
      </c>
      <c r="C59" s="199">
        <v>1</v>
      </c>
      <c r="D59" s="206" t="s">
        <v>77</v>
      </c>
      <c r="E59" s="162" t="s">
        <v>157</v>
      </c>
      <c r="F59" s="227">
        <v>174000</v>
      </c>
      <c r="G59" s="228">
        <f t="shared" si="0"/>
        <v>174000</v>
      </c>
      <c r="H59" s="137" t="s">
        <v>230</v>
      </c>
    </row>
    <row r="60" spans="1:8" x14ac:dyDescent="0.2">
      <c r="A60" s="158">
        <f t="shared" si="1"/>
        <v>30</v>
      </c>
      <c r="B60" s="156" t="s">
        <v>94</v>
      </c>
      <c r="C60" s="199">
        <v>1</v>
      </c>
      <c r="D60" s="206" t="s">
        <v>77</v>
      </c>
      <c r="E60" s="162"/>
      <c r="F60" s="227">
        <v>1079340</v>
      </c>
      <c r="G60" s="228">
        <f t="shared" si="0"/>
        <v>1079340</v>
      </c>
    </row>
    <row r="61" spans="1:8" ht="38.25" x14ac:dyDescent="0.2">
      <c r="A61" s="158">
        <f t="shared" si="1"/>
        <v>31</v>
      </c>
      <c r="B61" s="156" t="s">
        <v>95</v>
      </c>
      <c r="C61" s="199">
        <v>1</v>
      </c>
      <c r="D61" s="206" t="s">
        <v>77</v>
      </c>
      <c r="E61" s="162" t="s">
        <v>157</v>
      </c>
      <c r="F61" s="227">
        <v>522000</v>
      </c>
      <c r="G61" s="228">
        <f t="shared" si="0"/>
        <v>522000</v>
      </c>
      <c r="H61" s="137" t="s">
        <v>230</v>
      </c>
    </row>
    <row r="62" spans="1:8" x14ac:dyDescent="0.2">
      <c r="A62" s="158">
        <f t="shared" si="1"/>
        <v>32</v>
      </c>
      <c r="B62" s="156" t="s">
        <v>96</v>
      </c>
      <c r="C62" s="199">
        <v>1</v>
      </c>
      <c r="D62" s="206" t="s">
        <v>77</v>
      </c>
      <c r="E62" s="162"/>
      <c r="F62" s="227"/>
      <c r="G62" s="228">
        <f t="shared" si="0"/>
        <v>0</v>
      </c>
    </row>
    <row r="63" spans="1:8" x14ac:dyDescent="0.2">
      <c r="A63" s="158">
        <f t="shared" si="1"/>
        <v>33</v>
      </c>
      <c r="B63" s="156" t="s">
        <v>97</v>
      </c>
      <c r="C63" s="199">
        <v>1</v>
      </c>
      <c r="D63" s="206" t="s">
        <v>77</v>
      </c>
      <c r="E63" s="162"/>
      <c r="F63" s="227"/>
      <c r="G63" s="228">
        <f t="shared" si="0"/>
        <v>0</v>
      </c>
    </row>
    <row r="64" spans="1:8" x14ac:dyDescent="0.2">
      <c r="A64" s="158">
        <f t="shared" si="1"/>
        <v>34</v>
      </c>
      <c r="B64" s="156" t="s">
        <v>98</v>
      </c>
      <c r="C64" s="199">
        <v>1</v>
      </c>
      <c r="D64" s="206" t="s">
        <v>77</v>
      </c>
      <c r="E64" s="162"/>
      <c r="F64" s="227"/>
      <c r="G64" s="228">
        <f t="shared" si="0"/>
        <v>0</v>
      </c>
    </row>
    <row r="65" spans="1:7" x14ac:dyDescent="0.2">
      <c r="A65" s="158">
        <f t="shared" si="1"/>
        <v>35</v>
      </c>
      <c r="B65" s="156" t="s">
        <v>99</v>
      </c>
      <c r="C65" s="199">
        <v>1</v>
      </c>
      <c r="D65" s="206" t="s">
        <v>77</v>
      </c>
      <c r="E65" s="162"/>
      <c r="F65" s="227"/>
      <c r="G65" s="228">
        <f t="shared" si="0"/>
        <v>0</v>
      </c>
    </row>
    <row r="66" spans="1:7" x14ac:dyDescent="0.2">
      <c r="A66" s="158">
        <f t="shared" si="1"/>
        <v>36</v>
      </c>
      <c r="B66" s="156" t="s">
        <v>100</v>
      </c>
      <c r="C66" s="199">
        <v>1</v>
      </c>
      <c r="D66" s="199" t="s">
        <v>77</v>
      </c>
      <c r="E66" s="162"/>
      <c r="F66" s="227"/>
      <c r="G66" s="228">
        <f t="shared" si="0"/>
        <v>0</v>
      </c>
    </row>
    <row r="67" spans="1:7" x14ac:dyDescent="0.2">
      <c r="A67" s="158">
        <f t="shared" si="1"/>
        <v>37</v>
      </c>
      <c r="B67" s="156" t="s">
        <v>155</v>
      </c>
      <c r="C67" s="199">
        <v>5000</v>
      </c>
      <c r="D67" s="206"/>
      <c r="E67" s="162"/>
      <c r="F67" s="227">
        <v>4060</v>
      </c>
      <c r="G67" s="228">
        <f t="shared" si="0"/>
        <v>20300000</v>
      </c>
    </row>
    <row r="68" spans="1:7" ht="14.25" customHeight="1" x14ac:dyDescent="0.2">
      <c r="A68" s="143"/>
      <c r="B68" s="552" t="s">
        <v>178</v>
      </c>
      <c r="C68" s="553"/>
      <c r="D68" s="553"/>
      <c r="E68" s="553"/>
      <c r="F68" s="553"/>
      <c r="G68" s="554"/>
    </row>
    <row r="69" spans="1:7" x14ac:dyDescent="0.2">
      <c r="A69" s="158">
        <v>1</v>
      </c>
      <c r="B69" s="156" t="s">
        <v>163</v>
      </c>
      <c r="C69" s="228">
        <v>1</v>
      </c>
      <c r="D69" s="206" t="s">
        <v>77</v>
      </c>
      <c r="E69" s="162"/>
      <c r="F69" s="435">
        <v>663917</v>
      </c>
      <c r="G69" s="223">
        <f t="shared" si="0"/>
        <v>663917</v>
      </c>
    </row>
    <row r="70" spans="1:7" x14ac:dyDescent="0.2">
      <c r="A70" s="158">
        <v>2</v>
      </c>
      <c r="B70" s="156" t="s">
        <v>213</v>
      </c>
      <c r="C70" s="228">
        <v>58500</v>
      </c>
      <c r="D70" s="206"/>
      <c r="E70" s="162"/>
      <c r="F70" s="435">
        <v>223.88</v>
      </c>
      <c r="G70" s="223">
        <f t="shared" si="0"/>
        <v>13096980</v>
      </c>
    </row>
    <row r="71" spans="1:7" ht="27.75" customHeight="1" x14ac:dyDescent="0.2">
      <c r="A71" s="158">
        <v>5</v>
      </c>
      <c r="B71" s="156" t="s">
        <v>167</v>
      </c>
      <c r="C71" s="228">
        <v>1</v>
      </c>
      <c r="D71" s="206" t="s">
        <v>77</v>
      </c>
      <c r="E71" s="162"/>
      <c r="F71" s="435">
        <v>360413</v>
      </c>
      <c r="G71" s="223">
        <f t="shared" si="0"/>
        <v>360413</v>
      </c>
    </row>
    <row r="72" spans="1:7" ht="38.25" customHeight="1" x14ac:dyDescent="0.2">
      <c r="A72" s="158">
        <v>6</v>
      </c>
      <c r="B72" s="156" t="s">
        <v>168</v>
      </c>
      <c r="C72" s="228">
        <v>29250</v>
      </c>
      <c r="D72" s="206"/>
      <c r="E72" s="162"/>
      <c r="F72" s="435">
        <v>266.8</v>
      </c>
      <c r="G72" s="223">
        <f t="shared" si="0"/>
        <v>7803900</v>
      </c>
    </row>
    <row r="73" spans="1:7" hidden="1" x14ac:dyDescent="0.2">
      <c r="A73" s="158">
        <v>7</v>
      </c>
      <c r="B73" s="156" t="s">
        <v>149</v>
      </c>
      <c r="C73" s="228">
        <v>29250</v>
      </c>
      <c r="D73" s="206" t="s">
        <v>77</v>
      </c>
      <c r="E73" s="162"/>
      <c r="F73" s="198"/>
      <c r="G73" s="223">
        <f t="shared" si="0"/>
        <v>0</v>
      </c>
    </row>
    <row r="74" spans="1:7" ht="12.75" hidden="1" customHeight="1" x14ac:dyDescent="0.2">
      <c r="A74" s="158">
        <v>8</v>
      </c>
      <c r="B74" s="156" t="s">
        <v>150</v>
      </c>
      <c r="C74" s="228">
        <v>29250</v>
      </c>
      <c r="D74" s="206" t="s">
        <v>77</v>
      </c>
      <c r="E74" s="162"/>
      <c r="F74" s="198"/>
      <c r="G74" s="223">
        <f t="shared" si="0"/>
        <v>0</v>
      </c>
    </row>
    <row r="75" spans="1:7" ht="41.25" hidden="1" customHeight="1" x14ac:dyDescent="0.2">
      <c r="A75" s="146">
        <v>9</v>
      </c>
      <c r="B75" s="156" t="s">
        <v>76</v>
      </c>
      <c r="C75" s="228">
        <v>29250</v>
      </c>
      <c r="D75" s="206" t="s">
        <v>77</v>
      </c>
      <c r="E75" s="162" t="s">
        <v>159</v>
      </c>
      <c r="F75" s="198"/>
      <c r="G75" s="223">
        <f t="shared" ref="G75:G79" si="2">+F75*C75</f>
        <v>0</v>
      </c>
    </row>
    <row r="76" spans="1:7" ht="14.25" customHeight="1" x14ac:dyDescent="0.2">
      <c r="A76" s="143"/>
      <c r="B76" s="142" t="s">
        <v>179</v>
      </c>
      <c r="C76" s="144"/>
      <c r="D76" s="142"/>
      <c r="E76" s="145"/>
      <c r="F76" s="145"/>
      <c r="G76" s="197"/>
    </row>
    <row r="77" spans="1:7" x14ac:dyDescent="0.2">
      <c r="A77" s="158" t="s">
        <v>180</v>
      </c>
      <c r="B77" s="156" t="s">
        <v>143</v>
      </c>
      <c r="C77" s="229">
        <v>1</v>
      </c>
      <c r="D77" s="206" t="s">
        <v>106</v>
      </c>
      <c r="E77" s="162" t="s">
        <v>130</v>
      </c>
      <c r="F77" s="227">
        <v>35000000</v>
      </c>
      <c r="G77" s="223">
        <f t="shared" si="2"/>
        <v>35000000</v>
      </c>
    </row>
    <row r="78" spans="1:7" x14ac:dyDescent="0.2">
      <c r="A78" s="158" t="s">
        <v>181</v>
      </c>
      <c r="B78" s="156" t="s">
        <v>118</v>
      </c>
      <c r="C78" s="229">
        <v>1</v>
      </c>
      <c r="D78" s="206" t="s">
        <v>119</v>
      </c>
      <c r="E78" s="163" t="s">
        <v>109</v>
      </c>
      <c r="F78" s="227">
        <v>235000000</v>
      </c>
      <c r="G78" s="223">
        <f t="shared" si="2"/>
        <v>235000000</v>
      </c>
    </row>
    <row r="79" spans="1:7" ht="42" customHeight="1" x14ac:dyDescent="0.2">
      <c r="A79" s="158" t="s">
        <v>182</v>
      </c>
      <c r="B79" s="156" t="s">
        <v>120</v>
      </c>
      <c r="C79" s="228">
        <v>4000</v>
      </c>
      <c r="D79" s="206" t="s">
        <v>108</v>
      </c>
      <c r="E79" s="164" t="s">
        <v>158</v>
      </c>
      <c r="F79" s="198">
        <v>500</v>
      </c>
      <c r="G79" s="223">
        <f t="shared" si="2"/>
        <v>2000000</v>
      </c>
    </row>
    <row r="80" spans="1:7" ht="25.5" hidden="1" x14ac:dyDescent="0.2">
      <c r="A80" s="143"/>
      <c r="B80" s="165" t="s">
        <v>121</v>
      </c>
      <c r="C80" s="144"/>
      <c r="D80" s="142"/>
      <c r="E80" s="145"/>
      <c r="F80" s="145"/>
      <c r="G80" s="205"/>
    </row>
    <row r="81" spans="1:8" hidden="1" x14ac:dyDescent="0.2">
      <c r="A81" s="158"/>
      <c r="B81" s="156" t="s">
        <v>122</v>
      </c>
      <c r="C81" s="151"/>
      <c r="D81" s="159"/>
      <c r="E81" s="162"/>
      <c r="F81" s="227"/>
      <c r="G81" s="223"/>
    </row>
    <row r="82" spans="1:8" x14ac:dyDescent="0.2">
      <c r="A82" s="143"/>
      <c r="B82" s="165" t="s">
        <v>183</v>
      </c>
      <c r="C82" s="144"/>
      <c r="D82" s="142"/>
      <c r="E82" s="145"/>
      <c r="F82" s="145"/>
      <c r="G82" s="205"/>
    </row>
    <row r="83" spans="1:8" ht="38.25" x14ac:dyDescent="0.2">
      <c r="A83" s="146" t="s">
        <v>184</v>
      </c>
      <c r="B83" s="147" t="s">
        <v>162</v>
      </c>
      <c r="C83" s="230">
        <v>1</v>
      </c>
      <c r="D83" s="231" t="s">
        <v>77</v>
      </c>
      <c r="E83" s="163" t="s">
        <v>169</v>
      </c>
      <c r="F83" s="198">
        <v>96000000</v>
      </c>
      <c r="G83" s="223">
        <f t="shared" ref="G83:G85" si="3">+F83*C83</f>
        <v>96000000</v>
      </c>
    </row>
    <row r="84" spans="1:8" x14ac:dyDescent="0.2">
      <c r="A84" s="167"/>
      <c r="B84" s="168" t="s">
        <v>185</v>
      </c>
      <c r="C84" s="169"/>
      <c r="D84" s="168"/>
      <c r="E84" s="170"/>
      <c r="F84" s="170"/>
      <c r="G84" s="205"/>
    </row>
    <row r="85" spans="1:8" ht="143.25" customHeight="1" x14ac:dyDescent="0.2">
      <c r="A85" s="146">
        <v>2.6</v>
      </c>
      <c r="B85" s="156" t="s">
        <v>103</v>
      </c>
      <c r="C85" s="199">
        <v>10</v>
      </c>
      <c r="D85" s="199" t="s">
        <v>105</v>
      </c>
      <c r="E85" s="149" t="s">
        <v>104</v>
      </c>
      <c r="F85" s="198">
        <v>11210000</v>
      </c>
      <c r="G85" s="223">
        <f t="shared" si="3"/>
        <v>112100000</v>
      </c>
      <c r="H85" s="171"/>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1"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opLeftCell="A16" zoomScale="64" zoomScaleNormal="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20.7109375" style="174" bestFit="1" customWidth="1"/>
    <col min="5" max="5" width="65.28515625" style="175" customWidth="1"/>
    <col min="6" max="6" width="14.5703125" style="137" bestFit="1" customWidth="1"/>
    <col min="7" max="7" width="20.28515625" style="188" bestFit="1" customWidth="1"/>
    <col min="8" max="16384" width="10.85546875" style="137"/>
  </cols>
  <sheetData>
    <row r="1" spans="1:7" x14ac:dyDescent="0.2">
      <c r="B1" s="176" t="s">
        <v>195</v>
      </c>
      <c r="D1" s="232" t="s">
        <v>234</v>
      </c>
    </row>
    <row r="2" spans="1:7" x14ac:dyDescent="0.2">
      <c r="B2" s="176" t="s">
        <v>196</v>
      </c>
      <c r="D2" s="233" t="s">
        <v>235</v>
      </c>
    </row>
    <row r="3" spans="1:7" x14ac:dyDescent="0.2">
      <c r="B3" s="176" t="s">
        <v>197</v>
      </c>
      <c r="D3" s="233" t="s">
        <v>236</v>
      </c>
    </row>
    <row r="4" spans="1:7" x14ac:dyDescent="0.2">
      <c r="B4" s="177" t="s">
        <v>161</v>
      </c>
      <c r="D4" s="233" t="s">
        <v>235</v>
      </c>
    </row>
    <row r="5" spans="1:7" x14ac:dyDescent="0.2">
      <c r="B5" s="176" t="s">
        <v>160</v>
      </c>
      <c r="D5" s="233" t="s">
        <v>237</v>
      </c>
    </row>
    <row r="6" spans="1:7" x14ac:dyDescent="0.2">
      <c r="B6" s="176" t="s">
        <v>198</v>
      </c>
      <c r="D6" s="233" t="s">
        <v>238</v>
      </c>
    </row>
    <row r="8" spans="1:7" ht="15" customHeight="1" x14ac:dyDescent="0.2">
      <c r="A8" s="545" t="s">
        <v>102</v>
      </c>
      <c r="B8" s="545"/>
      <c r="C8" s="545"/>
      <c r="D8" s="545"/>
      <c r="E8" s="545"/>
      <c r="F8" s="545"/>
      <c r="G8" s="545"/>
    </row>
    <row r="9" spans="1:7" ht="25.5" x14ac:dyDescent="0.2">
      <c r="A9" s="546" t="s">
        <v>62</v>
      </c>
      <c r="B9" s="547"/>
      <c r="C9" s="138" t="s">
        <v>63</v>
      </c>
      <c r="D9" s="139" t="s">
        <v>64</v>
      </c>
      <c r="E9" s="253" t="s">
        <v>65</v>
      </c>
      <c r="F9" s="191" t="s">
        <v>101</v>
      </c>
      <c r="G9" s="192" t="s">
        <v>61</v>
      </c>
    </row>
    <row r="10" spans="1:7" x14ac:dyDescent="0.2">
      <c r="A10" s="141"/>
      <c r="B10" s="142" t="s">
        <v>117</v>
      </c>
      <c r="C10" s="138"/>
      <c r="D10" s="139"/>
      <c r="E10" s="25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34">
        <v>14000000</v>
      </c>
      <c r="G12" s="223">
        <f>+F12*C12</f>
        <v>42000000</v>
      </c>
    </row>
    <row r="13" spans="1:7" ht="99" customHeight="1" x14ac:dyDescent="0.2">
      <c r="A13" s="150" t="s">
        <v>171</v>
      </c>
      <c r="B13" s="147" t="s">
        <v>128</v>
      </c>
      <c r="C13" s="148">
        <v>2</v>
      </c>
      <c r="D13" s="148" t="s">
        <v>111</v>
      </c>
      <c r="E13" s="149" t="s">
        <v>132</v>
      </c>
      <c r="F13" s="234">
        <v>12600000</v>
      </c>
      <c r="G13" s="223">
        <f t="shared" ref="G13:G76" si="0">+F13*C13</f>
        <v>25200000</v>
      </c>
    </row>
    <row r="14" spans="1:7" ht="162" customHeight="1" x14ac:dyDescent="0.2">
      <c r="A14" s="150" t="s">
        <v>171</v>
      </c>
      <c r="B14" s="147" t="s">
        <v>186</v>
      </c>
      <c r="C14" s="148">
        <v>5</v>
      </c>
      <c r="D14" s="148" t="s">
        <v>110</v>
      </c>
      <c r="E14" s="149" t="s">
        <v>136</v>
      </c>
      <c r="F14" s="234">
        <v>15400000</v>
      </c>
      <c r="G14" s="223">
        <f t="shared" si="0"/>
        <v>77000000</v>
      </c>
    </row>
    <row r="15" spans="1:7" ht="162.75" customHeight="1" x14ac:dyDescent="0.2">
      <c r="A15" s="146" t="s">
        <v>171</v>
      </c>
      <c r="B15" s="147" t="s">
        <v>187</v>
      </c>
      <c r="C15" s="148">
        <v>5</v>
      </c>
      <c r="D15" s="148" t="s">
        <v>110</v>
      </c>
      <c r="E15" s="149" t="s">
        <v>112</v>
      </c>
      <c r="F15" s="234">
        <v>18200000</v>
      </c>
      <c r="G15" s="223">
        <f t="shared" si="0"/>
        <v>91000000</v>
      </c>
    </row>
    <row r="16" spans="1:7" ht="25.5" x14ac:dyDescent="0.2">
      <c r="A16" s="146" t="s">
        <v>172</v>
      </c>
      <c r="B16" s="147" t="s">
        <v>113</v>
      </c>
      <c r="C16" s="148">
        <v>6</v>
      </c>
      <c r="D16" s="148" t="s">
        <v>114</v>
      </c>
      <c r="E16" s="149" t="s">
        <v>115</v>
      </c>
      <c r="F16" s="234">
        <v>23800000</v>
      </c>
      <c r="G16" s="223">
        <f t="shared" si="0"/>
        <v>142800000</v>
      </c>
    </row>
    <row r="17" spans="1:7" ht="43.5" customHeight="1" x14ac:dyDescent="0.2">
      <c r="A17" s="146" t="s">
        <v>173</v>
      </c>
      <c r="B17" s="147" t="s">
        <v>107</v>
      </c>
      <c r="C17" s="151">
        <v>16</v>
      </c>
      <c r="D17" s="148" t="s">
        <v>123</v>
      </c>
      <c r="E17" s="149" t="s">
        <v>116</v>
      </c>
      <c r="F17" s="234">
        <v>26600000</v>
      </c>
      <c r="G17" s="223">
        <f t="shared" si="0"/>
        <v>425600000</v>
      </c>
    </row>
    <row r="18" spans="1:7" ht="285.75" customHeight="1" x14ac:dyDescent="0.2">
      <c r="A18" s="152" t="s">
        <v>174</v>
      </c>
      <c r="B18" s="147" t="s">
        <v>151</v>
      </c>
      <c r="C18" s="148">
        <v>2</v>
      </c>
      <c r="D18" s="148" t="s">
        <v>145</v>
      </c>
      <c r="E18" s="149" t="s">
        <v>152</v>
      </c>
      <c r="F18" s="200">
        <v>4384800</v>
      </c>
      <c r="G18" s="207">
        <f t="shared" si="0"/>
        <v>8769600</v>
      </c>
    </row>
    <row r="19" spans="1:7" ht="270" customHeight="1" x14ac:dyDescent="0.2">
      <c r="A19" s="152">
        <v>2.4</v>
      </c>
      <c r="B19" s="147" t="s">
        <v>176</v>
      </c>
      <c r="C19" s="148">
        <v>2</v>
      </c>
      <c r="D19" s="148" t="s">
        <v>145</v>
      </c>
      <c r="E19" s="149" t="s">
        <v>175</v>
      </c>
      <c r="F19" s="235">
        <v>8769600</v>
      </c>
      <c r="G19" s="223">
        <f t="shared" si="0"/>
        <v>17539200</v>
      </c>
    </row>
    <row r="20" spans="1:7" ht="270" customHeight="1" thickBot="1" x14ac:dyDescent="0.25">
      <c r="A20" s="152">
        <v>2.4</v>
      </c>
      <c r="B20" s="147" t="s">
        <v>153</v>
      </c>
      <c r="C20" s="148">
        <v>2</v>
      </c>
      <c r="D20" s="148" t="s">
        <v>145</v>
      </c>
      <c r="E20" s="149" t="s">
        <v>154</v>
      </c>
      <c r="F20" s="235">
        <v>8769600</v>
      </c>
      <c r="G20" s="223">
        <f t="shared" si="0"/>
        <v>17539200</v>
      </c>
    </row>
    <row r="21" spans="1:7" ht="55.5" customHeight="1" x14ac:dyDescent="0.2">
      <c r="A21" s="152">
        <v>2</v>
      </c>
      <c r="B21" s="147" t="s">
        <v>144</v>
      </c>
      <c r="C21" s="147">
        <v>10</v>
      </c>
      <c r="D21" s="147" t="s">
        <v>145</v>
      </c>
      <c r="E21" s="147" t="s">
        <v>146</v>
      </c>
      <c r="F21" s="236">
        <v>252000</v>
      </c>
      <c r="G21" s="209">
        <f t="shared" si="0"/>
        <v>2520000</v>
      </c>
    </row>
    <row r="22" spans="1:7" ht="216.75" customHeight="1" x14ac:dyDescent="0.2">
      <c r="A22" s="152">
        <v>2.1</v>
      </c>
      <c r="B22" s="147" t="s">
        <v>203</v>
      </c>
      <c r="C22" s="147">
        <v>48</v>
      </c>
      <c r="D22" s="237" t="s">
        <v>145</v>
      </c>
      <c r="E22" s="147" t="s">
        <v>147</v>
      </c>
      <c r="F22" s="238">
        <v>150000</v>
      </c>
      <c r="G22" s="223">
        <f t="shared" si="0"/>
        <v>7200000</v>
      </c>
    </row>
    <row r="23" spans="1:7" ht="68.25" customHeight="1" x14ac:dyDescent="0.2">
      <c r="A23" s="152">
        <v>2.1</v>
      </c>
      <c r="B23" s="147" t="s">
        <v>148</v>
      </c>
      <c r="C23" s="147">
        <v>8</v>
      </c>
      <c r="D23" s="147" t="s">
        <v>145</v>
      </c>
      <c r="E23" s="147" t="s">
        <v>66</v>
      </c>
      <c r="F23" s="239">
        <v>986000</v>
      </c>
      <c r="G23" s="207">
        <f t="shared" si="0"/>
        <v>7888000</v>
      </c>
    </row>
    <row r="24" spans="1:7" x14ac:dyDescent="0.2">
      <c r="A24" s="548">
        <v>2.1</v>
      </c>
      <c r="B24" s="551" t="s">
        <v>67</v>
      </c>
      <c r="C24" s="153">
        <v>8</v>
      </c>
      <c r="D24" s="154" t="s">
        <v>145</v>
      </c>
      <c r="E24" s="155" t="s">
        <v>68</v>
      </c>
      <c r="F24" s="227">
        <v>30000</v>
      </c>
      <c r="G24" s="209">
        <f t="shared" si="0"/>
        <v>240000</v>
      </c>
    </row>
    <row r="25" spans="1:7" x14ac:dyDescent="0.2">
      <c r="A25" s="549"/>
      <c r="B25" s="551"/>
      <c r="C25" s="153">
        <v>8</v>
      </c>
      <c r="D25" s="154" t="s">
        <v>145</v>
      </c>
      <c r="E25" s="155" t="s">
        <v>69</v>
      </c>
      <c r="F25" s="227">
        <v>25000</v>
      </c>
      <c r="G25" s="209">
        <f t="shared" si="0"/>
        <v>200000</v>
      </c>
    </row>
    <row r="26" spans="1:7" x14ac:dyDescent="0.2">
      <c r="A26" s="550"/>
      <c r="B26" s="551"/>
      <c r="C26" s="153">
        <v>8</v>
      </c>
      <c r="D26" s="154" t="s">
        <v>145</v>
      </c>
      <c r="E26" s="155" t="s">
        <v>70</v>
      </c>
      <c r="F26" s="227">
        <v>30000</v>
      </c>
      <c r="G26" s="209">
        <f t="shared" si="0"/>
        <v>240000</v>
      </c>
    </row>
    <row r="27" spans="1:7" x14ac:dyDescent="0.2">
      <c r="A27" s="152">
        <v>2.1</v>
      </c>
      <c r="B27" s="156" t="s">
        <v>71</v>
      </c>
      <c r="C27" s="154">
        <v>8</v>
      </c>
      <c r="D27" s="154" t="s">
        <v>145</v>
      </c>
      <c r="E27" s="156" t="s">
        <v>72</v>
      </c>
      <c r="F27" s="227">
        <v>950000</v>
      </c>
      <c r="G27" s="209">
        <f t="shared" si="0"/>
        <v>7600000</v>
      </c>
    </row>
    <row r="28" spans="1:7" ht="15.75" customHeight="1" x14ac:dyDescent="0.2">
      <c r="A28" s="152">
        <v>2.1</v>
      </c>
      <c r="B28" s="156" t="s">
        <v>71</v>
      </c>
      <c r="C28" s="154">
        <v>8</v>
      </c>
      <c r="D28" s="154" t="s">
        <v>145</v>
      </c>
      <c r="E28" s="156" t="s">
        <v>72</v>
      </c>
      <c r="F28" s="227">
        <v>950000</v>
      </c>
      <c r="G28" s="209">
        <f t="shared" si="0"/>
        <v>7600000</v>
      </c>
    </row>
    <row r="29" spans="1:7" x14ac:dyDescent="0.2">
      <c r="A29" s="152">
        <v>2.1</v>
      </c>
      <c r="B29" s="157" t="s">
        <v>73</v>
      </c>
      <c r="C29" s="151">
        <v>8</v>
      </c>
      <c r="D29" s="151" t="s">
        <v>75</v>
      </c>
      <c r="E29" s="162" t="s">
        <v>74</v>
      </c>
      <c r="F29" s="209">
        <v>105000</v>
      </c>
      <c r="G29" s="209">
        <f t="shared" si="0"/>
        <v>840000</v>
      </c>
    </row>
    <row r="30" spans="1:7" x14ac:dyDescent="0.2">
      <c r="A30" s="143"/>
      <c r="B30" s="142" t="s">
        <v>177</v>
      </c>
      <c r="C30" s="144"/>
      <c r="D30" s="142"/>
      <c r="E30" s="145"/>
      <c r="F30" s="145"/>
      <c r="G30" s="197"/>
    </row>
    <row r="31" spans="1:7" x14ac:dyDescent="0.2">
      <c r="A31" s="158">
        <v>1</v>
      </c>
      <c r="B31" s="156" t="s">
        <v>78</v>
      </c>
      <c r="C31" s="151">
        <v>1</v>
      </c>
      <c r="D31" s="159" t="s">
        <v>77</v>
      </c>
      <c r="E31" s="162"/>
      <c r="F31" s="240">
        <v>65650</v>
      </c>
      <c r="G31" s="209">
        <f t="shared" si="0"/>
        <v>65650</v>
      </c>
    </row>
    <row r="32" spans="1:7" x14ac:dyDescent="0.2">
      <c r="A32" s="158">
        <f t="shared" ref="A32:A67" si="1">+A31+1</f>
        <v>2</v>
      </c>
      <c r="B32" s="156" t="s">
        <v>79</v>
      </c>
      <c r="C32" s="160">
        <v>30000</v>
      </c>
      <c r="D32" s="159" t="s">
        <v>77</v>
      </c>
      <c r="E32" s="162"/>
      <c r="F32" s="227">
        <v>137</v>
      </c>
      <c r="G32" s="209">
        <f t="shared" si="0"/>
        <v>4110000</v>
      </c>
    </row>
    <row r="33" spans="1:7" x14ac:dyDescent="0.2">
      <c r="A33" s="158">
        <f t="shared" si="1"/>
        <v>3</v>
      </c>
      <c r="B33" s="156" t="s">
        <v>80</v>
      </c>
      <c r="C33" s="151">
        <v>1</v>
      </c>
      <c r="D33" s="159" t="s">
        <v>77</v>
      </c>
      <c r="E33" s="162"/>
      <c r="F33" s="240">
        <v>814000</v>
      </c>
      <c r="G33" s="209">
        <f t="shared" si="0"/>
        <v>814000</v>
      </c>
    </row>
    <row r="34" spans="1:7" x14ac:dyDescent="0.2">
      <c r="A34" s="158">
        <f t="shared" si="1"/>
        <v>4</v>
      </c>
      <c r="B34" s="156" t="s">
        <v>81</v>
      </c>
      <c r="C34" s="151">
        <v>2</v>
      </c>
      <c r="D34" s="159" t="s">
        <v>77</v>
      </c>
      <c r="E34" s="162"/>
      <c r="F34" s="240">
        <v>570500</v>
      </c>
      <c r="G34" s="209">
        <f t="shared" si="0"/>
        <v>1141000</v>
      </c>
    </row>
    <row r="35" spans="1:7" x14ac:dyDescent="0.2">
      <c r="A35" s="158">
        <f t="shared" si="1"/>
        <v>5</v>
      </c>
      <c r="B35" s="156" t="s">
        <v>82</v>
      </c>
      <c r="C35" s="151">
        <v>4</v>
      </c>
      <c r="D35" s="159" t="s">
        <v>77</v>
      </c>
      <c r="E35" s="162"/>
      <c r="F35" s="240">
        <v>360000</v>
      </c>
      <c r="G35" s="209">
        <f t="shared" si="0"/>
        <v>1440000</v>
      </c>
    </row>
    <row r="36" spans="1:7" x14ac:dyDescent="0.2">
      <c r="A36" s="158">
        <f t="shared" si="1"/>
        <v>6</v>
      </c>
      <c r="B36" s="156" t="s">
        <v>137</v>
      </c>
      <c r="C36" s="151">
        <v>4</v>
      </c>
      <c r="D36" s="159" t="s">
        <v>77</v>
      </c>
      <c r="E36" s="162"/>
      <c r="F36" s="240">
        <v>328900</v>
      </c>
      <c r="G36" s="209">
        <f t="shared" si="0"/>
        <v>1315600</v>
      </c>
    </row>
    <row r="37" spans="1:7" x14ac:dyDescent="0.2">
      <c r="A37" s="158">
        <f t="shared" si="1"/>
        <v>7</v>
      </c>
      <c r="B37" s="156" t="s">
        <v>138</v>
      </c>
      <c r="C37" s="160">
        <v>40000</v>
      </c>
      <c r="D37" s="159" t="s">
        <v>77</v>
      </c>
      <c r="E37" s="162"/>
      <c r="F37" s="227">
        <v>218</v>
      </c>
      <c r="G37" s="209">
        <f t="shared" si="0"/>
        <v>8720000</v>
      </c>
    </row>
    <row r="38" spans="1:7" x14ac:dyDescent="0.2">
      <c r="A38" s="158">
        <f t="shared" si="1"/>
        <v>8</v>
      </c>
      <c r="B38" s="156" t="s">
        <v>139</v>
      </c>
      <c r="C38" s="151">
        <v>2</v>
      </c>
      <c r="D38" s="159" t="s">
        <v>77</v>
      </c>
      <c r="E38" s="162"/>
      <c r="F38" s="240">
        <v>575900</v>
      </c>
      <c r="G38" s="209">
        <f t="shared" si="0"/>
        <v>1151800</v>
      </c>
    </row>
    <row r="39" spans="1:7" x14ac:dyDescent="0.2">
      <c r="A39" s="158">
        <f t="shared" si="1"/>
        <v>9</v>
      </c>
      <c r="B39" s="156" t="s">
        <v>140</v>
      </c>
      <c r="C39" s="160">
        <v>20000</v>
      </c>
      <c r="D39" s="159" t="s">
        <v>77</v>
      </c>
      <c r="E39" s="162"/>
      <c r="F39" s="227">
        <v>267</v>
      </c>
      <c r="G39" s="209">
        <f t="shared" si="0"/>
        <v>5340000</v>
      </c>
    </row>
    <row r="40" spans="1:7" x14ac:dyDescent="0.2">
      <c r="A40" s="158">
        <f t="shared" si="1"/>
        <v>10</v>
      </c>
      <c r="B40" s="156" t="s">
        <v>141</v>
      </c>
      <c r="C40" s="151">
        <v>2</v>
      </c>
      <c r="D40" s="159" t="s">
        <v>77</v>
      </c>
      <c r="E40" s="162"/>
      <c r="F40" s="240">
        <v>850000</v>
      </c>
      <c r="G40" s="209">
        <f t="shared" si="0"/>
        <v>1700000</v>
      </c>
    </row>
    <row r="41" spans="1:7" x14ac:dyDescent="0.2">
      <c r="A41" s="158">
        <f t="shared" si="1"/>
        <v>11</v>
      </c>
      <c r="B41" s="156" t="s">
        <v>142</v>
      </c>
      <c r="C41" s="160">
        <v>20000</v>
      </c>
      <c r="D41" s="159" t="s">
        <v>77</v>
      </c>
      <c r="E41" s="162"/>
      <c r="F41" s="227">
        <v>270</v>
      </c>
      <c r="G41" s="209">
        <f t="shared" si="0"/>
        <v>5400000</v>
      </c>
    </row>
    <row r="42" spans="1:7" x14ac:dyDescent="0.2">
      <c r="A42" s="158">
        <f t="shared" si="1"/>
        <v>12</v>
      </c>
      <c r="B42" s="156" t="s">
        <v>133</v>
      </c>
      <c r="C42" s="160">
        <v>5000</v>
      </c>
      <c r="D42" s="159" t="s">
        <v>77</v>
      </c>
      <c r="E42" s="162"/>
      <c r="F42" s="240">
        <v>1160</v>
      </c>
      <c r="G42" s="209">
        <f t="shared" si="0"/>
        <v>5800000</v>
      </c>
    </row>
    <row r="43" spans="1:7" x14ac:dyDescent="0.2">
      <c r="A43" s="158">
        <f t="shared" si="1"/>
        <v>13</v>
      </c>
      <c r="B43" s="156" t="s">
        <v>229</v>
      </c>
      <c r="C43" s="160">
        <v>5000</v>
      </c>
      <c r="D43" s="159" t="s">
        <v>77</v>
      </c>
      <c r="E43" s="162"/>
      <c r="F43" s="240">
        <v>147500</v>
      </c>
      <c r="G43" s="209">
        <f t="shared" si="0"/>
        <v>737500000</v>
      </c>
    </row>
    <row r="44" spans="1:7" x14ac:dyDescent="0.2">
      <c r="A44" s="158">
        <f t="shared" si="1"/>
        <v>14</v>
      </c>
      <c r="B44" s="156" t="s">
        <v>124</v>
      </c>
      <c r="C44" s="160">
        <v>1</v>
      </c>
      <c r="D44" s="159" t="s">
        <v>77</v>
      </c>
      <c r="E44" s="162"/>
      <c r="F44" s="240">
        <v>226900</v>
      </c>
      <c r="G44" s="209">
        <f t="shared" si="0"/>
        <v>226900</v>
      </c>
    </row>
    <row r="45" spans="1:7" x14ac:dyDescent="0.2">
      <c r="A45" s="158">
        <f t="shared" si="1"/>
        <v>15</v>
      </c>
      <c r="B45" s="161" t="s">
        <v>125</v>
      </c>
      <c r="C45" s="160">
        <v>5000</v>
      </c>
      <c r="D45" s="159" t="s">
        <v>77</v>
      </c>
      <c r="E45" s="162"/>
      <c r="F45" s="240">
        <v>12700</v>
      </c>
      <c r="G45" s="209">
        <f t="shared" si="0"/>
        <v>63500000</v>
      </c>
    </row>
    <row r="46" spans="1:7" x14ac:dyDescent="0.2">
      <c r="A46" s="158">
        <f t="shared" si="1"/>
        <v>16</v>
      </c>
      <c r="B46" s="161" t="s">
        <v>126</v>
      </c>
      <c r="C46" s="151">
        <v>1</v>
      </c>
      <c r="D46" s="159" t="s">
        <v>77</v>
      </c>
      <c r="E46" s="162"/>
      <c r="F46" s="240">
        <v>415090</v>
      </c>
      <c r="G46" s="209">
        <f t="shared" si="0"/>
        <v>415090</v>
      </c>
    </row>
    <row r="47" spans="1:7" x14ac:dyDescent="0.2">
      <c r="A47" s="158">
        <f t="shared" si="1"/>
        <v>17</v>
      </c>
      <c r="B47" s="161" t="s">
        <v>134</v>
      </c>
      <c r="C47" s="160">
        <v>5000</v>
      </c>
      <c r="D47" s="159" t="s">
        <v>77</v>
      </c>
      <c r="E47" s="162"/>
      <c r="F47" s="240">
        <v>11050</v>
      </c>
      <c r="G47" s="209">
        <f t="shared" si="0"/>
        <v>55250000</v>
      </c>
    </row>
    <row r="48" spans="1:7" x14ac:dyDescent="0.2">
      <c r="A48" s="158">
        <f t="shared" si="1"/>
        <v>18</v>
      </c>
      <c r="B48" s="156" t="s">
        <v>83</v>
      </c>
      <c r="C48" s="151">
        <v>5</v>
      </c>
      <c r="D48" s="159" t="s">
        <v>77</v>
      </c>
      <c r="E48" s="162"/>
      <c r="F48" s="240">
        <v>355000</v>
      </c>
      <c r="G48" s="209">
        <f t="shared" si="0"/>
        <v>1775000</v>
      </c>
    </row>
    <row r="49" spans="1:7" ht="25.5" x14ac:dyDescent="0.2">
      <c r="A49" s="158">
        <f t="shared" si="1"/>
        <v>19</v>
      </c>
      <c r="B49" s="156" t="s">
        <v>135</v>
      </c>
      <c r="C49" s="148">
        <v>40</v>
      </c>
      <c r="D49" s="159" t="s">
        <v>77</v>
      </c>
      <c r="E49" s="162" t="s">
        <v>156</v>
      </c>
      <c r="F49" s="240">
        <v>252000</v>
      </c>
      <c r="G49" s="209">
        <f t="shared" si="0"/>
        <v>10080000</v>
      </c>
    </row>
    <row r="50" spans="1:7" x14ac:dyDescent="0.2">
      <c r="A50" s="158">
        <f t="shared" si="1"/>
        <v>20</v>
      </c>
      <c r="B50" s="156" t="s">
        <v>84</v>
      </c>
      <c r="C50" s="151">
        <v>1</v>
      </c>
      <c r="D50" s="159" t="s">
        <v>77</v>
      </c>
      <c r="E50" s="162"/>
      <c r="F50" s="240">
        <v>161995</v>
      </c>
      <c r="G50" s="209">
        <f t="shared" si="0"/>
        <v>161995</v>
      </c>
    </row>
    <row r="51" spans="1:7" ht="25.5" x14ac:dyDescent="0.2">
      <c r="A51" s="158">
        <f t="shared" si="1"/>
        <v>21</v>
      </c>
      <c r="B51" s="156" t="s">
        <v>85</v>
      </c>
      <c r="C51" s="151">
        <v>2</v>
      </c>
      <c r="D51" s="159" t="s">
        <v>77</v>
      </c>
      <c r="E51" s="162" t="s">
        <v>156</v>
      </c>
      <c r="F51" s="240">
        <v>973000</v>
      </c>
      <c r="G51" s="209">
        <f t="shared" si="0"/>
        <v>1946000</v>
      </c>
    </row>
    <row r="52" spans="1:7" x14ac:dyDescent="0.2">
      <c r="A52" s="158">
        <f t="shared" si="1"/>
        <v>22</v>
      </c>
      <c r="B52" s="156" t="s">
        <v>86</v>
      </c>
      <c r="C52" s="151">
        <v>1</v>
      </c>
      <c r="D52" s="159" t="s">
        <v>77</v>
      </c>
      <c r="E52" s="162"/>
      <c r="F52" s="240">
        <v>511980</v>
      </c>
      <c r="G52" s="209">
        <f t="shared" si="0"/>
        <v>511980</v>
      </c>
    </row>
    <row r="53" spans="1:7" ht="38.25" x14ac:dyDescent="0.2">
      <c r="A53" s="158">
        <f t="shared" si="1"/>
        <v>23</v>
      </c>
      <c r="B53" s="156" t="s">
        <v>87</v>
      </c>
      <c r="C53" s="151">
        <v>1</v>
      </c>
      <c r="D53" s="159" t="s">
        <v>77</v>
      </c>
      <c r="E53" s="162" t="s">
        <v>157</v>
      </c>
      <c r="F53" s="240">
        <v>1540000</v>
      </c>
      <c r="G53" s="209">
        <f t="shared" si="0"/>
        <v>1540000</v>
      </c>
    </row>
    <row r="54" spans="1:7" x14ac:dyDescent="0.2">
      <c r="A54" s="158">
        <f t="shared" si="1"/>
        <v>24</v>
      </c>
      <c r="B54" s="156" t="s">
        <v>88</v>
      </c>
      <c r="C54" s="151">
        <v>1</v>
      </c>
      <c r="D54" s="159" t="s">
        <v>77</v>
      </c>
      <c r="E54" s="162"/>
      <c r="F54" s="240">
        <v>511980</v>
      </c>
      <c r="G54" s="209">
        <f t="shared" si="0"/>
        <v>511980</v>
      </c>
    </row>
    <row r="55" spans="1:7" ht="38.25" x14ac:dyDescent="0.2">
      <c r="A55" s="158">
        <f t="shared" si="1"/>
        <v>25</v>
      </c>
      <c r="B55" s="156" t="s">
        <v>89</v>
      </c>
      <c r="C55" s="151">
        <v>2</v>
      </c>
      <c r="D55" s="159" t="s">
        <v>77</v>
      </c>
      <c r="E55" s="162" t="s">
        <v>157</v>
      </c>
      <c r="F55" s="240">
        <v>1750000</v>
      </c>
      <c r="G55" s="209">
        <f t="shared" si="0"/>
        <v>3500000</v>
      </c>
    </row>
    <row r="56" spans="1:7" x14ac:dyDescent="0.2">
      <c r="A56" s="158">
        <f>+A55+1</f>
        <v>26</v>
      </c>
      <c r="B56" s="156" t="s">
        <v>90</v>
      </c>
      <c r="C56" s="151">
        <v>1</v>
      </c>
      <c r="D56" s="159" t="s">
        <v>77</v>
      </c>
      <c r="E56" s="162"/>
      <c r="F56" s="240">
        <v>675780</v>
      </c>
      <c r="G56" s="209">
        <f t="shared" si="0"/>
        <v>675780</v>
      </c>
    </row>
    <row r="57" spans="1:7" ht="38.25" x14ac:dyDescent="0.2">
      <c r="A57" s="158">
        <f t="shared" si="1"/>
        <v>27</v>
      </c>
      <c r="B57" s="156" t="s">
        <v>91</v>
      </c>
      <c r="C57" s="151">
        <v>2</v>
      </c>
      <c r="D57" s="159" t="s">
        <v>77</v>
      </c>
      <c r="E57" s="162" t="s">
        <v>157</v>
      </c>
      <c r="F57" s="240">
        <v>2380000</v>
      </c>
      <c r="G57" s="209">
        <f t="shared" si="0"/>
        <v>4760000</v>
      </c>
    </row>
    <row r="58" spans="1:7" x14ac:dyDescent="0.2">
      <c r="A58" s="158">
        <f t="shared" si="1"/>
        <v>28</v>
      </c>
      <c r="B58" s="156" t="s">
        <v>92</v>
      </c>
      <c r="C58" s="151">
        <v>1</v>
      </c>
      <c r="D58" s="159" t="s">
        <v>77</v>
      </c>
      <c r="E58" s="162"/>
      <c r="F58" s="240">
        <v>675780</v>
      </c>
      <c r="G58" s="209">
        <f t="shared" si="0"/>
        <v>675780</v>
      </c>
    </row>
    <row r="59" spans="1:7" ht="38.25" x14ac:dyDescent="0.2">
      <c r="A59" s="158">
        <f t="shared" si="1"/>
        <v>29</v>
      </c>
      <c r="B59" s="156" t="s">
        <v>93</v>
      </c>
      <c r="C59" s="151">
        <v>1</v>
      </c>
      <c r="D59" s="159" t="s">
        <v>77</v>
      </c>
      <c r="E59" s="162" t="s">
        <v>157</v>
      </c>
      <c r="F59" s="240">
        <v>4480000</v>
      </c>
      <c r="G59" s="209">
        <f t="shared" si="0"/>
        <v>4480000</v>
      </c>
    </row>
    <row r="60" spans="1:7" x14ac:dyDescent="0.2">
      <c r="A60" s="158">
        <f t="shared" si="1"/>
        <v>30</v>
      </c>
      <c r="B60" s="156" t="s">
        <v>94</v>
      </c>
      <c r="C60" s="151">
        <v>1</v>
      </c>
      <c r="D60" s="159" t="s">
        <v>77</v>
      </c>
      <c r="E60" s="162"/>
      <c r="F60" s="240">
        <v>675780</v>
      </c>
      <c r="G60" s="209">
        <f t="shared" si="0"/>
        <v>675780</v>
      </c>
    </row>
    <row r="61" spans="1:7" ht="38.25" x14ac:dyDescent="0.2">
      <c r="A61" s="158">
        <f t="shared" si="1"/>
        <v>31</v>
      </c>
      <c r="B61" s="156" t="s">
        <v>95</v>
      </c>
      <c r="C61" s="151">
        <v>1</v>
      </c>
      <c r="D61" s="159" t="s">
        <v>77</v>
      </c>
      <c r="E61" s="162" t="s">
        <v>157</v>
      </c>
      <c r="F61" s="240">
        <v>4760000</v>
      </c>
      <c r="G61" s="209">
        <f t="shared" si="0"/>
        <v>4760000</v>
      </c>
    </row>
    <row r="62" spans="1:7" hidden="1" x14ac:dyDescent="0.2">
      <c r="A62" s="158">
        <f t="shared" si="1"/>
        <v>32</v>
      </c>
      <c r="B62" s="156" t="s">
        <v>96</v>
      </c>
      <c r="C62" s="151">
        <v>1</v>
      </c>
      <c r="D62" s="159" t="s">
        <v>77</v>
      </c>
      <c r="E62" s="162"/>
      <c r="F62" s="227"/>
      <c r="G62" s="209">
        <f t="shared" si="0"/>
        <v>0</v>
      </c>
    </row>
    <row r="63" spans="1:7" hidden="1" x14ac:dyDescent="0.2">
      <c r="A63" s="158">
        <f t="shared" si="1"/>
        <v>33</v>
      </c>
      <c r="B63" s="156" t="s">
        <v>97</v>
      </c>
      <c r="C63" s="151">
        <v>1</v>
      </c>
      <c r="D63" s="159" t="s">
        <v>77</v>
      </c>
      <c r="E63" s="162"/>
      <c r="F63" s="227"/>
      <c r="G63" s="209">
        <f t="shared" si="0"/>
        <v>0</v>
      </c>
    </row>
    <row r="64" spans="1:7" hidden="1" x14ac:dyDescent="0.2">
      <c r="A64" s="158">
        <f t="shared" si="1"/>
        <v>34</v>
      </c>
      <c r="B64" s="156" t="s">
        <v>98</v>
      </c>
      <c r="C64" s="151">
        <v>1</v>
      </c>
      <c r="D64" s="159" t="s">
        <v>77</v>
      </c>
      <c r="E64" s="162"/>
      <c r="F64" s="227"/>
      <c r="G64" s="209">
        <f t="shared" si="0"/>
        <v>0</v>
      </c>
    </row>
    <row r="65" spans="1:9" hidden="1" x14ac:dyDescent="0.2">
      <c r="A65" s="158">
        <f t="shared" si="1"/>
        <v>35</v>
      </c>
      <c r="B65" s="156" t="s">
        <v>99</v>
      </c>
      <c r="C65" s="151">
        <v>1</v>
      </c>
      <c r="D65" s="159" t="s">
        <v>77</v>
      </c>
      <c r="E65" s="162"/>
      <c r="F65" s="227"/>
      <c r="G65" s="209">
        <f t="shared" si="0"/>
        <v>0</v>
      </c>
    </row>
    <row r="66" spans="1:9" hidden="1" x14ac:dyDescent="0.2">
      <c r="A66" s="158">
        <f t="shared" si="1"/>
        <v>36</v>
      </c>
      <c r="B66" s="156" t="s">
        <v>100</v>
      </c>
      <c r="C66" s="151">
        <v>1</v>
      </c>
      <c r="D66" s="154" t="s">
        <v>77</v>
      </c>
      <c r="E66" s="162"/>
      <c r="F66" s="227"/>
      <c r="G66" s="209">
        <f t="shared" si="0"/>
        <v>0</v>
      </c>
    </row>
    <row r="67" spans="1:9" x14ac:dyDescent="0.2">
      <c r="A67" s="158">
        <f t="shared" si="1"/>
        <v>37</v>
      </c>
      <c r="B67" s="156" t="s">
        <v>155</v>
      </c>
      <c r="C67" s="151">
        <v>5000</v>
      </c>
      <c r="D67" s="159"/>
      <c r="E67" s="162"/>
      <c r="F67" s="240">
        <v>4900</v>
      </c>
      <c r="G67" s="209">
        <f t="shared" si="0"/>
        <v>24500000</v>
      </c>
    </row>
    <row r="68" spans="1:9" ht="14.25" customHeight="1" x14ac:dyDescent="0.2">
      <c r="A68" s="143"/>
      <c r="B68" s="552">
        <v>1</v>
      </c>
      <c r="C68" s="553"/>
      <c r="D68" s="553"/>
      <c r="E68" s="553"/>
      <c r="F68" s="553"/>
      <c r="G68" s="554"/>
    </row>
    <row r="69" spans="1:9" x14ac:dyDescent="0.2">
      <c r="A69" s="158">
        <v>1</v>
      </c>
      <c r="B69" s="156" t="s">
        <v>163</v>
      </c>
      <c r="C69" s="207">
        <v>1</v>
      </c>
      <c r="D69" s="159" t="s">
        <v>77</v>
      </c>
      <c r="E69" s="162"/>
      <c r="F69" s="240">
        <v>476050</v>
      </c>
      <c r="G69" s="209">
        <f t="shared" si="0"/>
        <v>476050</v>
      </c>
    </row>
    <row r="70" spans="1:9" x14ac:dyDescent="0.2">
      <c r="A70" s="158">
        <v>2</v>
      </c>
      <c r="B70" s="156" t="s">
        <v>164</v>
      </c>
      <c r="C70" s="207">
        <v>58500</v>
      </c>
      <c r="D70" s="159"/>
      <c r="E70" s="162"/>
      <c r="F70" s="240">
        <v>605</v>
      </c>
      <c r="G70" s="209">
        <f t="shared" si="0"/>
        <v>35392500</v>
      </c>
    </row>
    <row r="71" spans="1:9" ht="25.5" x14ac:dyDescent="0.2">
      <c r="A71" s="158">
        <v>3</v>
      </c>
      <c r="B71" s="156" t="s">
        <v>165</v>
      </c>
      <c r="C71" s="187">
        <v>1</v>
      </c>
      <c r="D71" s="159" t="s">
        <v>77</v>
      </c>
      <c r="E71" s="162"/>
      <c r="F71" s="240">
        <v>185100</v>
      </c>
      <c r="G71" s="209">
        <f>+F71*C71</f>
        <v>185100</v>
      </c>
    </row>
    <row r="72" spans="1:9" ht="30.75" customHeight="1" x14ac:dyDescent="0.2">
      <c r="A72" s="158">
        <v>4</v>
      </c>
      <c r="B72" s="156" t="s">
        <v>166</v>
      </c>
      <c r="C72" s="207">
        <v>29250</v>
      </c>
      <c r="D72" s="159"/>
      <c r="E72" s="162"/>
      <c r="F72" s="240">
        <v>4384</v>
      </c>
      <c r="G72" s="209">
        <f>+F72*C72</f>
        <v>128232000</v>
      </c>
    </row>
    <row r="73" spans="1:9" ht="27.75" customHeight="1" x14ac:dyDescent="0.2">
      <c r="A73" s="158">
        <v>5</v>
      </c>
      <c r="B73" s="156" t="s">
        <v>167</v>
      </c>
      <c r="C73" s="187">
        <v>1</v>
      </c>
      <c r="D73" s="159" t="s">
        <v>77</v>
      </c>
      <c r="E73" s="162"/>
      <c r="F73" s="240">
        <v>760725</v>
      </c>
      <c r="G73" s="209">
        <f>+F73*C73</f>
        <v>760725</v>
      </c>
    </row>
    <row r="74" spans="1:9" ht="30" customHeight="1" x14ac:dyDescent="0.2">
      <c r="A74" s="158">
        <v>6</v>
      </c>
      <c r="B74" s="156" t="s">
        <v>168</v>
      </c>
      <c r="C74" s="207">
        <v>29250</v>
      </c>
      <c r="D74" s="159"/>
      <c r="E74" s="162"/>
      <c r="F74" s="227">
        <v>372</v>
      </c>
      <c r="G74" s="209">
        <f>+F74*C74</f>
        <v>10881000</v>
      </c>
    </row>
    <row r="75" spans="1:9" x14ac:dyDescent="0.2">
      <c r="A75" s="158">
        <v>7</v>
      </c>
      <c r="B75" s="156" t="s">
        <v>149</v>
      </c>
      <c r="C75" s="207">
        <v>29250</v>
      </c>
      <c r="D75" s="159" t="s">
        <v>77</v>
      </c>
      <c r="E75" s="162"/>
      <c r="F75" s="240">
        <v>31850</v>
      </c>
      <c r="G75" s="209">
        <f t="shared" si="0"/>
        <v>931612500</v>
      </c>
    </row>
    <row r="76" spans="1:9" ht="12.75" customHeight="1" x14ac:dyDescent="0.2">
      <c r="A76" s="158">
        <v>8</v>
      </c>
      <c r="B76" s="156" t="s">
        <v>150</v>
      </c>
      <c r="C76" s="207">
        <v>29250</v>
      </c>
      <c r="D76" s="159" t="s">
        <v>77</v>
      </c>
      <c r="E76" s="162"/>
      <c r="F76" s="241">
        <v>20000</v>
      </c>
      <c r="G76" s="242">
        <f t="shared" si="0"/>
        <v>585000000</v>
      </c>
      <c r="H76" s="243"/>
      <c r="I76" s="243"/>
    </row>
    <row r="77" spans="1:9" ht="58.5" customHeight="1" x14ac:dyDescent="0.2">
      <c r="A77" s="146">
        <v>9</v>
      </c>
      <c r="B77" s="156" t="s">
        <v>76</v>
      </c>
      <c r="C77" s="207">
        <v>29250</v>
      </c>
      <c r="D77" s="159" t="s">
        <v>77</v>
      </c>
      <c r="E77" s="162" t="s">
        <v>243</v>
      </c>
      <c r="F77" s="240">
        <v>4017</v>
      </c>
      <c r="G77" s="209">
        <f t="shared" ref="G77:G81" si="2">+F77*C77</f>
        <v>117497250</v>
      </c>
    </row>
    <row r="78" spans="1:9" ht="14.25" customHeight="1" x14ac:dyDescent="0.2">
      <c r="A78" s="143"/>
      <c r="B78" s="142" t="s">
        <v>179</v>
      </c>
      <c r="C78" s="144"/>
      <c r="D78" s="142"/>
      <c r="E78" s="145"/>
      <c r="F78" s="145"/>
      <c r="G78" s="197"/>
    </row>
    <row r="79" spans="1:9" x14ac:dyDescent="0.2">
      <c r="A79" s="158" t="s">
        <v>180</v>
      </c>
      <c r="B79" s="156" t="s">
        <v>143</v>
      </c>
      <c r="C79" s="151">
        <v>1</v>
      </c>
      <c r="D79" s="159" t="s">
        <v>106</v>
      </c>
      <c r="E79" s="162" t="s">
        <v>130</v>
      </c>
      <c r="F79" s="244">
        <v>21890000</v>
      </c>
      <c r="G79" s="207">
        <f t="shared" si="2"/>
        <v>21890000</v>
      </c>
    </row>
    <row r="80" spans="1:9" x14ac:dyDescent="0.2">
      <c r="A80" s="158" t="s">
        <v>181</v>
      </c>
      <c r="B80" s="156" t="s">
        <v>118</v>
      </c>
      <c r="C80" s="151">
        <v>1</v>
      </c>
      <c r="D80" s="159" t="s">
        <v>119</v>
      </c>
      <c r="E80" s="163" t="s">
        <v>109</v>
      </c>
      <c r="F80" s="239">
        <v>49000000</v>
      </c>
      <c r="G80" s="207">
        <f t="shared" si="2"/>
        <v>49000000</v>
      </c>
    </row>
    <row r="81" spans="1:8" ht="42" customHeight="1" x14ac:dyDescent="0.2">
      <c r="A81" s="158" t="s">
        <v>182</v>
      </c>
      <c r="B81" s="156" t="s">
        <v>120</v>
      </c>
      <c r="C81" s="160">
        <v>4000</v>
      </c>
      <c r="D81" s="159" t="s">
        <v>108</v>
      </c>
      <c r="E81" s="164" t="s">
        <v>158</v>
      </c>
      <c r="F81" s="239">
        <v>3000</v>
      </c>
      <c r="G81" s="207">
        <f t="shared" si="2"/>
        <v>12000000</v>
      </c>
    </row>
    <row r="82" spans="1:8" ht="25.5" hidden="1" x14ac:dyDescent="0.2">
      <c r="A82" s="143"/>
      <c r="B82" s="165" t="s">
        <v>121</v>
      </c>
      <c r="C82" s="144"/>
      <c r="D82" s="142"/>
      <c r="E82" s="145"/>
      <c r="F82" s="145"/>
      <c r="G82" s="197"/>
    </row>
    <row r="83" spans="1:8" hidden="1" x14ac:dyDescent="0.2">
      <c r="A83" s="158"/>
      <c r="B83" s="156" t="s">
        <v>122</v>
      </c>
      <c r="C83" s="151"/>
      <c r="D83" s="159"/>
      <c r="E83" s="162"/>
      <c r="F83" s="227"/>
      <c r="G83" s="209"/>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240">
        <v>95500000</v>
      </c>
      <c r="G85" s="209">
        <f t="shared" ref="G85:G87" si="3">+F85*C85</f>
        <v>95500000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234">
        <v>8690000</v>
      </c>
      <c r="G87" s="223">
        <f t="shared" si="3"/>
        <v>86900000</v>
      </c>
      <c r="H87" s="171"/>
    </row>
    <row r="88" spans="1:8" x14ac:dyDescent="0.2">
      <c r="A88" s="245"/>
      <c r="B88" s="246"/>
      <c r="C88" s="247"/>
      <c r="D88" s="247"/>
      <c r="E88" s="248"/>
      <c r="F88" s="249"/>
      <c r="G88" s="250"/>
    </row>
    <row r="89" spans="1:8" x14ac:dyDescent="0.2">
      <c r="A89" s="245"/>
      <c r="B89" s="246"/>
      <c r="C89" s="247"/>
      <c r="D89" s="247"/>
      <c r="E89" s="248"/>
      <c r="F89" s="249"/>
      <c r="G89" s="250"/>
    </row>
    <row r="90" spans="1:8" x14ac:dyDescent="0.2">
      <c r="A90" s="245"/>
      <c r="B90" s="246"/>
      <c r="C90" s="247"/>
      <c r="D90" s="247"/>
      <c r="E90" s="248"/>
      <c r="F90" s="249"/>
      <c r="G90" s="250"/>
    </row>
    <row r="91" spans="1:8" x14ac:dyDescent="0.2">
      <c r="A91" s="245"/>
      <c r="B91" s="246"/>
      <c r="C91" s="247"/>
      <c r="D91" s="247"/>
      <c r="E91" s="248"/>
      <c r="F91" s="249"/>
      <c r="G91" s="250"/>
    </row>
    <row r="92" spans="1:8" x14ac:dyDescent="0.2">
      <c r="A92" s="245"/>
      <c r="B92" s="246"/>
      <c r="C92" s="247"/>
      <c r="D92" s="247"/>
      <c r="E92" s="248"/>
      <c r="F92" s="249"/>
      <c r="G92" s="250"/>
    </row>
    <row r="93" spans="1:8" x14ac:dyDescent="0.2">
      <c r="A93" s="245"/>
      <c r="B93" s="246"/>
      <c r="C93" s="247"/>
      <c r="D93" s="247"/>
      <c r="E93" s="248"/>
      <c r="F93" s="249"/>
      <c r="G93" s="250"/>
    </row>
    <row r="94" spans="1:8" x14ac:dyDescent="0.2">
      <c r="A94" s="245"/>
      <c r="B94" s="246"/>
      <c r="C94" s="247"/>
      <c r="D94" s="247"/>
      <c r="E94" s="248"/>
      <c r="F94" s="249"/>
      <c r="G94" s="250"/>
    </row>
    <row r="95" spans="1:8" x14ac:dyDescent="0.2">
      <c r="A95" s="245"/>
      <c r="B95" s="246"/>
      <c r="C95" s="247"/>
      <c r="D95" s="247"/>
      <c r="E95" s="248"/>
      <c r="F95" s="249"/>
      <c r="G95" s="250"/>
    </row>
    <row r="96" spans="1:8" x14ac:dyDescent="0.2">
      <c r="A96" s="245"/>
      <c r="B96" s="246"/>
      <c r="C96" s="247"/>
      <c r="D96" s="247"/>
      <c r="E96" s="248"/>
      <c r="F96" s="249"/>
      <c r="G96" s="250"/>
    </row>
    <row r="97" spans="1:7" x14ac:dyDescent="0.2">
      <c r="A97" s="245"/>
      <c r="B97" s="246"/>
      <c r="C97" s="247"/>
      <c r="D97" s="247"/>
      <c r="E97" s="248"/>
      <c r="F97" s="249"/>
      <c r="G97" s="250"/>
    </row>
    <row r="98" spans="1:7" x14ac:dyDescent="0.2">
      <c r="A98" s="245"/>
      <c r="B98" s="246"/>
      <c r="C98" s="247"/>
      <c r="D98" s="247"/>
      <c r="E98" s="248"/>
      <c r="F98" s="249"/>
      <c r="G98" s="250"/>
    </row>
    <row r="99" spans="1:7" x14ac:dyDescent="0.2">
      <c r="A99" s="245"/>
      <c r="B99" s="246"/>
      <c r="C99" s="247"/>
      <c r="D99" s="247"/>
      <c r="E99" s="248"/>
      <c r="F99" s="249"/>
      <c r="G99" s="250"/>
    </row>
    <row r="101" spans="1:7" ht="15" customHeight="1" x14ac:dyDescent="0.2">
      <c r="B101" s="558" t="s">
        <v>239</v>
      </c>
      <c r="C101" s="558"/>
      <c r="D101" s="558"/>
      <c r="E101" s="558"/>
      <c r="F101" s="558"/>
      <c r="G101" s="558"/>
    </row>
    <row r="102" spans="1:7" ht="15" customHeight="1" x14ac:dyDescent="0.2">
      <c r="B102" s="558" t="s">
        <v>240</v>
      </c>
      <c r="C102" s="558"/>
      <c r="D102" s="558"/>
      <c r="E102" s="558"/>
      <c r="F102" s="558"/>
      <c r="G102" s="558"/>
    </row>
  </sheetData>
  <mergeCells count="7">
    <mergeCell ref="B102:G102"/>
    <mergeCell ref="A8:G8"/>
    <mergeCell ref="A9:B9"/>
    <mergeCell ref="A24:A26"/>
    <mergeCell ref="B24:B26"/>
    <mergeCell ref="B68:G68"/>
    <mergeCell ref="B101:G101"/>
  </mergeCells>
  <printOptions horizontalCentered="1" verticalCentered="1"/>
  <pageMargins left="0.31496062992125984" right="0.11811023622047245" top="0.35433070866141736" bottom="0.15748031496062992" header="0.31496062992125984" footer="0.31496062992125984"/>
  <pageSetup scale="50" orientation="landscape" r:id="rId1"/>
  <rowBreaks count="2" manualBreakCount="2">
    <brk id="43" max="6" man="1"/>
    <brk id="83"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C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545" t="s">
        <v>102</v>
      </c>
      <c r="B8" s="545"/>
      <c r="C8" s="545"/>
      <c r="D8" s="545"/>
      <c r="E8" s="545"/>
      <c r="F8" s="545"/>
      <c r="G8" s="545"/>
    </row>
    <row r="9" spans="1:7" ht="51" x14ac:dyDescent="0.2">
      <c r="A9" s="546" t="s">
        <v>62</v>
      </c>
      <c r="B9" s="547"/>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96">
        <v>12000000</v>
      </c>
      <c r="G12" s="209">
        <f>+F12*C12</f>
        <v>36000000</v>
      </c>
    </row>
    <row r="13" spans="1:7" ht="99" customHeight="1" x14ac:dyDescent="0.2">
      <c r="A13" s="150" t="s">
        <v>171</v>
      </c>
      <c r="B13" s="147" t="s">
        <v>128</v>
      </c>
      <c r="C13" s="148">
        <v>2</v>
      </c>
      <c r="D13" s="148" t="s">
        <v>111</v>
      </c>
      <c r="E13" s="149" t="s">
        <v>132</v>
      </c>
      <c r="F13" s="296">
        <v>12000000</v>
      </c>
      <c r="G13" s="209">
        <f t="shared" ref="G13:G71" si="0">+F13*C13</f>
        <v>24000000</v>
      </c>
    </row>
    <row r="14" spans="1:7" ht="162" customHeight="1" x14ac:dyDescent="0.2">
      <c r="A14" s="150" t="s">
        <v>171</v>
      </c>
      <c r="B14" s="147" t="s">
        <v>186</v>
      </c>
      <c r="C14" s="148">
        <v>5</v>
      </c>
      <c r="D14" s="148" t="s">
        <v>110</v>
      </c>
      <c r="E14" s="149" t="s">
        <v>136</v>
      </c>
      <c r="F14" s="296">
        <v>9000000</v>
      </c>
      <c r="G14" s="209">
        <f t="shared" si="0"/>
        <v>45000000</v>
      </c>
    </row>
    <row r="15" spans="1:7" ht="162.75" customHeight="1" x14ac:dyDescent="0.2">
      <c r="A15" s="146" t="s">
        <v>171</v>
      </c>
      <c r="B15" s="147" t="s">
        <v>187</v>
      </c>
      <c r="C15" s="148">
        <v>5</v>
      </c>
      <c r="D15" s="148" t="s">
        <v>110</v>
      </c>
      <c r="E15" s="149" t="s">
        <v>112</v>
      </c>
      <c r="F15" s="296">
        <v>7000000</v>
      </c>
      <c r="G15" s="209">
        <f t="shared" si="0"/>
        <v>35000000</v>
      </c>
    </row>
    <row r="16" spans="1:7" ht="25.5" x14ac:dyDescent="0.2">
      <c r="A16" s="146" t="s">
        <v>172</v>
      </c>
      <c r="B16" s="147" t="s">
        <v>113</v>
      </c>
      <c r="C16" s="148">
        <v>6</v>
      </c>
      <c r="D16" s="148" t="s">
        <v>114</v>
      </c>
      <c r="E16" s="149" t="s">
        <v>115</v>
      </c>
      <c r="F16" s="296">
        <v>20000000</v>
      </c>
      <c r="G16" s="209">
        <f t="shared" si="0"/>
        <v>120000000</v>
      </c>
    </row>
    <row r="17" spans="1:7" ht="43.5" customHeight="1" x14ac:dyDescent="0.2">
      <c r="A17" s="146" t="s">
        <v>173</v>
      </c>
      <c r="B17" s="147" t="s">
        <v>107</v>
      </c>
      <c r="C17" s="151">
        <v>16</v>
      </c>
      <c r="D17" s="148" t="s">
        <v>123</v>
      </c>
      <c r="E17" s="149" t="s">
        <v>116</v>
      </c>
      <c r="F17" s="296">
        <v>15000000</v>
      </c>
      <c r="G17" s="209">
        <f t="shared" si="0"/>
        <v>240000000</v>
      </c>
    </row>
    <row r="18" spans="1:7" ht="285.75" customHeight="1" x14ac:dyDescent="0.2">
      <c r="A18" s="152" t="s">
        <v>174</v>
      </c>
      <c r="B18" s="147" t="s">
        <v>151</v>
      </c>
      <c r="C18" s="148">
        <v>2</v>
      </c>
      <c r="D18" s="148" t="s">
        <v>145</v>
      </c>
      <c r="E18" s="149" t="s">
        <v>152</v>
      </c>
      <c r="F18" s="296">
        <v>5000000</v>
      </c>
      <c r="G18" s="209">
        <f t="shared" si="0"/>
        <v>10000000</v>
      </c>
    </row>
    <row r="19" spans="1:7" ht="270" customHeight="1" thickBot="1" x14ac:dyDescent="0.25">
      <c r="A19" s="152">
        <v>2.4</v>
      </c>
      <c r="B19" s="147" t="s">
        <v>153</v>
      </c>
      <c r="C19" s="148">
        <v>2</v>
      </c>
      <c r="D19" s="148" t="s">
        <v>145</v>
      </c>
      <c r="E19" s="149" t="s">
        <v>154</v>
      </c>
      <c r="F19" s="297">
        <v>5000000</v>
      </c>
      <c r="G19" s="209">
        <f t="shared" si="0"/>
        <v>10000000</v>
      </c>
    </row>
    <row r="20" spans="1:7" ht="55.5" customHeight="1" x14ac:dyDescent="0.2">
      <c r="A20" s="152">
        <v>2</v>
      </c>
      <c r="B20" s="147" t="s">
        <v>144</v>
      </c>
      <c r="C20" s="147">
        <v>10</v>
      </c>
      <c r="D20" s="147" t="s">
        <v>145</v>
      </c>
      <c r="E20" s="147" t="s">
        <v>146</v>
      </c>
      <c r="F20" s="298">
        <v>150000</v>
      </c>
      <c r="G20" s="209">
        <f t="shared" si="0"/>
        <v>1500000</v>
      </c>
    </row>
    <row r="21" spans="1:7" ht="216.75" customHeight="1" x14ac:dyDescent="0.2">
      <c r="A21" s="152">
        <v>2.1</v>
      </c>
      <c r="B21" s="147" t="s">
        <v>203</v>
      </c>
      <c r="C21" s="147">
        <v>48</v>
      </c>
      <c r="D21" s="147" t="s">
        <v>145</v>
      </c>
      <c r="E21" s="147" t="s">
        <v>147</v>
      </c>
      <c r="F21" s="299">
        <v>600000</v>
      </c>
      <c r="G21" s="209">
        <f t="shared" si="0"/>
        <v>28800000</v>
      </c>
    </row>
    <row r="22" spans="1:7" ht="68.25" customHeight="1" x14ac:dyDescent="0.2">
      <c r="A22" s="152">
        <v>2.1</v>
      </c>
      <c r="B22" s="147" t="s">
        <v>148</v>
      </c>
      <c r="C22" s="147">
        <v>8</v>
      </c>
      <c r="D22" s="147" t="s">
        <v>145</v>
      </c>
      <c r="E22" s="147" t="s">
        <v>66</v>
      </c>
      <c r="F22" s="296">
        <v>300000</v>
      </c>
      <c r="G22" s="209">
        <f t="shared" si="0"/>
        <v>2400000</v>
      </c>
    </row>
    <row r="23" spans="1:7" x14ac:dyDescent="0.2">
      <c r="A23" s="548">
        <v>2.1</v>
      </c>
      <c r="B23" s="551" t="s">
        <v>67</v>
      </c>
      <c r="C23" s="153">
        <v>8</v>
      </c>
      <c r="D23" s="154" t="s">
        <v>145</v>
      </c>
      <c r="E23" s="155" t="s">
        <v>68</v>
      </c>
      <c r="F23" s="296">
        <v>50000</v>
      </c>
      <c r="G23" s="209">
        <f t="shared" si="0"/>
        <v>400000</v>
      </c>
    </row>
    <row r="24" spans="1:7" x14ac:dyDescent="0.2">
      <c r="A24" s="549"/>
      <c r="B24" s="551"/>
      <c r="C24" s="153">
        <v>8</v>
      </c>
      <c r="D24" s="154" t="s">
        <v>145</v>
      </c>
      <c r="E24" s="155" t="s">
        <v>69</v>
      </c>
      <c r="F24" s="296">
        <v>30000</v>
      </c>
      <c r="G24" s="209">
        <f t="shared" si="0"/>
        <v>240000</v>
      </c>
    </row>
    <row r="25" spans="1:7" x14ac:dyDescent="0.2">
      <c r="A25" s="550"/>
      <c r="B25" s="551"/>
      <c r="C25" s="153">
        <v>8</v>
      </c>
      <c r="D25" s="154" t="s">
        <v>145</v>
      </c>
      <c r="E25" s="155" t="s">
        <v>70</v>
      </c>
      <c r="F25" s="296">
        <v>30000</v>
      </c>
      <c r="G25" s="209">
        <f t="shared" si="0"/>
        <v>240000</v>
      </c>
    </row>
    <row r="26" spans="1:7" x14ac:dyDescent="0.2">
      <c r="A26" s="152">
        <v>2.1</v>
      </c>
      <c r="B26" s="156" t="s">
        <v>71</v>
      </c>
      <c r="C26" s="154">
        <v>8</v>
      </c>
      <c r="D26" s="154" t="s">
        <v>145</v>
      </c>
      <c r="E26" s="156" t="s">
        <v>72</v>
      </c>
      <c r="F26" s="296">
        <v>460000</v>
      </c>
      <c r="G26" s="209">
        <f t="shared" si="0"/>
        <v>3680000</v>
      </c>
    </row>
    <row r="27" spans="1:7" ht="15.75" customHeight="1" x14ac:dyDescent="0.2">
      <c r="A27" s="152">
        <v>2.1</v>
      </c>
      <c r="B27" s="156" t="s">
        <v>71</v>
      </c>
      <c r="C27" s="154">
        <v>8</v>
      </c>
      <c r="D27" s="154" t="s">
        <v>145</v>
      </c>
      <c r="E27" s="156" t="s">
        <v>72</v>
      </c>
      <c r="F27" s="296">
        <v>460000</v>
      </c>
      <c r="G27" s="209">
        <f t="shared" si="0"/>
        <v>3680000</v>
      </c>
    </row>
    <row r="28" spans="1:7" x14ac:dyDescent="0.2">
      <c r="A28" s="152">
        <v>2.1</v>
      </c>
      <c r="B28" s="157" t="s">
        <v>73</v>
      </c>
      <c r="C28" s="151">
        <v>8</v>
      </c>
      <c r="D28" s="151" t="s">
        <v>75</v>
      </c>
      <c r="E28" s="162" t="s">
        <v>74</v>
      </c>
      <c r="F28" s="296">
        <v>40000</v>
      </c>
      <c r="G28" s="209">
        <f t="shared" si="0"/>
        <v>320000</v>
      </c>
    </row>
    <row r="29" spans="1:7" x14ac:dyDescent="0.2">
      <c r="A29" s="143"/>
      <c r="B29" s="142" t="s">
        <v>177</v>
      </c>
      <c r="C29" s="144"/>
      <c r="D29" s="142"/>
      <c r="E29" s="145"/>
      <c r="F29" s="145"/>
      <c r="G29" s="197"/>
    </row>
    <row r="30" spans="1:7" x14ac:dyDescent="0.2">
      <c r="A30" s="158">
        <v>1</v>
      </c>
      <c r="B30" s="156" t="s">
        <v>78</v>
      </c>
      <c r="C30" s="151">
        <v>1</v>
      </c>
      <c r="D30" s="159" t="s">
        <v>77</v>
      </c>
      <c r="E30" s="162"/>
      <c r="F30" s="296">
        <v>500000</v>
      </c>
      <c r="G30" s="209">
        <f t="shared" si="0"/>
        <v>500000</v>
      </c>
    </row>
    <row r="31" spans="1:7" x14ac:dyDescent="0.2">
      <c r="A31" s="158">
        <f t="shared" ref="A31:A66" si="1">+A30+1</f>
        <v>2</v>
      </c>
      <c r="B31" s="156" t="s">
        <v>79</v>
      </c>
      <c r="C31" s="160">
        <v>30000</v>
      </c>
      <c r="D31" s="159" t="s">
        <v>77</v>
      </c>
      <c r="E31" s="162"/>
      <c r="F31" s="296">
        <v>300</v>
      </c>
      <c r="G31" s="209">
        <f t="shared" si="0"/>
        <v>9000000</v>
      </c>
    </row>
    <row r="32" spans="1:7" x14ac:dyDescent="0.2">
      <c r="A32" s="158">
        <f t="shared" si="1"/>
        <v>3</v>
      </c>
      <c r="B32" s="156" t="s">
        <v>80</v>
      </c>
      <c r="C32" s="151">
        <v>1</v>
      </c>
      <c r="D32" s="159" t="s">
        <v>77</v>
      </c>
      <c r="E32" s="162"/>
      <c r="F32" s="296">
        <v>2000000</v>
      </c>
      <c r="G32" s="209">
        <f t="shared" si="0"/>
        <v>2000000</v>
      </c>
    </row>
    <row r="33" spans="1:7" x14ac:dyDescent="0.2">
      <c r="A33" s="158">
        <f t="shared" si="1"/>
        <v>4</v>
      </c>
      <c r="B33" s="156" t="s">
        <v>81</v>
      </c>
      <c r="C33" s="151">
        <v>2</v>
      </c>
      <c r="D33" s="159" t="s">
        <v>77</v>
      </c>
      <c r="E33" s="162"/>
      <c r="F33" s="296">
        <v>2000000</v>
      </c>
      <c r="G33" s="209">
        <f t="shared" si="0"/>
        <v>4000000</v>
      </c>
    </row>
    <row r="34" spans="1:7" x14ac:dyDescent="0.2">
      <c r="A34" s="158">
        <f t="shared" si="1"/>
        <v>5</v>
      </c>
      <c r="B34" s="156" t="s">
        <v>82</v>
      </c>
      <c r="C34" s="151">
        <v>4</v>
      </c>
      <c r="D34" s="159" t="s">
        <v>77</v>
      </c>
      <c r="E34" s="162"/>
      <c r="F34" s="296">
        <v>2000000</v>
      </c>
      <c r="G34" s="209">
        <f t="shared" si="0"/>
        <v>8000000</v>
      </c>
    </row>
    <row r="35" spans="1:7" x14ac:dyDescent="0.2">
      <c r="A35" s="158">
        <f t="shared" si="1"/>
        <v>6</v>
      </c>
      <c r="B35" s="156" t="s">
        <v>137</v>
      </c>
      <c r="C35" s="151">
        <v>4</v>
      </c>
      <c r="D35" s="159" t="s">
        <v>77</v>
      </c>
      <c r="E35" s="162"/>
      <c r="F35" s="296">
        <v>2000000</v>
      </c>
      <c r="G35" s="209">
        <f t="shared" si="0"/>
        <v>8000000</v>
      </c>
    </row>
    <row r="36" spans="1:7" x14ac:dyDescent="0.2">
      <c r="A36" s="158">
        <f t="shared" si="1"/>
        <v>7</v>
      </c>
      <c r="B36" s="156" t="s">
        <v>138</v>
      </c>
      <c r="C36" s="160">
        <v>40000</v>
      </c>
      <c r="D36" s="159" t="s">
        <v>77</v>
      </c>
      <c r="E36" s="162"/>
      <c r="F36" s="296">
        <v>300</v>
      </c>
      <c r="G36" s="209">
        <f t="shared" si="0"/>
        <v>12000000</v>
      </c>
    </row>
    <row r="37" spans="1:7" x14ac:dyDescent="0.2">
      <c r="A37" s="158">
        <f t="shared" si="1"/>
        <v>8</v>
      </c>
      <c r="B37" s="156" t="s">
        <v>139</v>
      </c>
      <c r="C37" s="151">
        <v>2</v>
      </c>
      <c r="D37" s="159" t="s">
        <v>77</v>
      </c>
      <c r="E37" s="162"/>
      <c r="F37" s="296">
        <v>2000000</v>
      </c>
      <c r="G37" s="209">
        <f t="shared" si="0"/>
        <v>4000000</v>
      </c>
    </row>
    <row r="38" spans="1:7" x14ac:dyDescent="0.2">
      <c r="A38" s="158">
        <f t="shared" si="1"/>
        <v>9</v>
      </c>
      <c r="B38" s="156" t="s">
        <v>140</v>
      </c>
      <c r="C38" s="160">
        <v>20000</v>
      </c>
      <c r="D38" s="159" t="s">
        <v>77</v>
      </c>
      <c r="E38" s="162"/>
      <c r="F38" s="296">
        <v>550</v>
      </c>
      <c r="G38" s="209">
        <f t="shared" si="0"/>
        <v>11000000</v>
      </c>
    </row>
    <row r="39" spans="1:7" x14ac:dyDescent="0.2">
      <c r="A39" s="158">
        <f t="shared" si="1"/>
        <v>10</v>
      </c>
      <c r="B39" s="156" t="s">
        <v>141</v>
      </c>
      <c r="C39" s="151">
        <v>2</v>
      </c>
      <c r="D39" s="159" t="s">
        <v>77</v>
      </c>
      <c r="E39" s="162"/>
      <c r="F39" s="296">
        <v>2000000</v>
      </c>
      <c r="G39" s="209">
        <f t="shared" si="0"/>
        <v>4000000</v>
      </c>
    </row>
    <row r="40" spans="1:7" x14ac:dyDescent="0.2">
      <c r="A40" s="158">
        <f t="shared" si="1"/>
        <v>11</v>
      </c>
      <c r="B40" s="156" t="s">
        <v>142</v>
      </c>
      <c r="C40" s="160">
        <v>20000</v>
      </c>
      <c r="D40" s="159" t="s">
        <v>77</v>
      </c>
      <c r="E40" s="162"/>
      <c r="F40" s="296">
        <v>600</v>
      </c>
      <c r="G40" s="209">
        <f t="shared" si="0"/>
        <v>12000000</v>
      </c>
    </row>
    <row r="41" spans="1:7" x14ac:dyDescent="0.2">
      <c r="A41" s="158">
        <f t="shared" si="1"/>
        <v>12</v>
      </c>
      <c r="B41" s="156" t="s">
        <v>133</v>
      </c>
      <c r="C41" s="160">
        <v>5000</v>
      </c>
      <c r="D41" s="159" t="s">
        <v>77</v>
      </c>
      <c r="E41" s="162"/>
      <c r="F41" s="296">
        <v>250</v>
      </c>
      <c r="G41" s="209">
        <f t="shared" si="0"/>
        <v>1250000</v>
      </c>
    </row>
    <row r="42" spans="1:7" x14ac:dyDescent="0.2">
      <c r="A42" s="158">
        <f t="shared" si="1"/>
        <v>13</v>
      </c>
      <c r="B42" s="156" t="s">
        <v>229</v>
      </c>
      <c r="C42" s="160">
        <v>5000</v>
      </c>
      <c r="D42" s="159" t="s">
        <v>77</v>
      </c>
      <c r="E42" s="162"/>
      <c r="F42" s="296">
        <v>550</v>
      </c>
      <c r="G42" s="209">
        <f t="shared" si="0"/>
        <v>2750000</v>
      </c>
    </row>
    <row r="43" spans="1:7" x14ac:dyDescent="0.2">
      <c r="A43" s="158">
        <f t="shared" si="1"/>
        <v>14</v>
      </c>
      <c r="B43" s="156" t="s">
        <v>124</v>
      </c>
      <c r="C43" s="160">
        <v>1</v>
      </c>
      <c r="D43" s="159" t="s">
        <v>77</v>
      </c>
      <c r="E43" s="162"/>
      <c r="F43" s="296">
        <v>2000000</v>
      </c>
      <c r="G43" s="209">
        <f t="shared" si="0"/>
        <v>2000000</v>
      </c>
    </row>
    <row r="44" spans="1:7" x14ac:dyDescent="0.2">
      <c r="A44" s="158">
        <f t="shared" si="1"/>
        <v>15</v>
      </c>
      <c r="B44" s="161" t="s">
        <v>125</v>
      </c>
      <c r="C44" s="160">
        <v>5000</v>
      </c>
      <c r="D44" s="159" t="s">
        <v>77</v>
      </c>
      <c r="E44" s="162"/>
      <c r="F44" s="296">
        <v>500</v>
      </c>
      <c r="G44" s="209">
        <f t="shared" si="0"/>
        <v>2500000</v>
      </c>
    </row>
    <row r="45" spans="1:7" x14ac:dyDescent="0.2">
      <c r="A45" s="158">
        <f t="shared" si="1"/>
        <v>16</v>
      </c>
      <c r="B45" s="161" t="s">
        <v>126</v>
      </c>
      <c r="C45" s="151">
        <v>1</v>
      </c>
      <c r="D45" s="159" t="s">
        <v>77</v>
      </c>
      <c r="E45" s="162"/>
      <c r="F45" s="296">
        <v>3000000</v>
      </c>
      <c r="G45" s="209">
        <f t="shared" si="0"/>
        <v>3000000</v>
      </c>
    </row>
    <row r="46" spans="1:7" x14ac:dyDescent="0.2">
      <c r="A46" s="158">
        <f t="shared" si="1"/>
        <v>17</v>
      </c>
      <c r="B46" s="161" t="s">
        <v>134</v>
      </c>
      <c r="C46" s="160">
        <v>5000</v>
      </c>
      <c r="D46" s="159" t="s">
        <v>77</v>
      </c>
      <c r="E46" s="162"/>
      <c r="F46" s="296">
        <v>1000</v>
      </c>
      <c r="G46" s="209">
        <f t="shared" si="0"/>
        <v>5000000</v>
      </c>
    </row>
    <row r="47" spans="1:7" x14ac:dyDescent="0.2">
      <c r="A47" s="158">
        <f t="shared" si="1"/>
        <v>18</v>
      </c>
      <c r="B47" s="156" t="s">
        <v>83</v>
      </c>
      <c r="C47" s="151">
        <v>5</v>
      </c>
      <c r="D47" s="159" t="s">
        <v>77</v>
      </c>
      <c r="E47" s="162"/>
      <c r="F47" s="296">
        <v>300000</v>
      </c>
      <c r="G47" s="209">
        <f t="shared" si="0"/>
        <v>1500000</v>
      </c>
    </row>
    <row r="48" spans="1:7" ht="25.5" x14ac:dyDescent="0.2">
      <c r="A48" s="158">
        <f t="shared" si="1"/>
        <v>19</v>
      </c>
      <c r="B48" s="156" t="s">
        <v>135</v>
      </c>
      <c r="C48" s="148">
        <v>40</v>
      </c>
      <c r="D48" s="159" t="s">
        <v>77</v>
      </c>
      <c r="E48" s="162" t="s">
        <v>156</v>
      </c>
      <c r="F48" s="296">
        <v>200000</v>
      </c>
      <c r="G48" s="209">
        <f t="shared" si="0"/>
        <v>8000000</v>
      </c>
    </row>
    <row r="49" spans="1:7" x14ac:dyDescent="0.2">
      <c r="A49" s="158">
        <f t="shared" si="1"/>
        <v>20</v>
      </c>
      <c r="B49" s="156" t="s">
        <v>84</v>
      </c>
      <c r="C49" s="151">
        <v>1</v>
      </c>
      <c r="D49" s="159" t="s">
        <v>77</v>
      </c>
      <c r="E49" s="162"/>
      <c r="F49" s="296">
        <v>300000</v>
      </c>
      <c r="G49" s="209">
        <f t="shared" si="0"/>
        <v>300000</v>
      </c>
    </row>
    <row r="50" spans="1:7" ht="25.5" x14ac:dyDescent="0.2">
      <c r="A50" s="158">
        <f t="shared" si="1"/>
        <v>21</v>
      </c>
      <c r="B50" s="156" t="s">
        <v>85</v>
      </c>
      <c r="C50" s="151">
        <v>2</v>
      </c>
      <c r="D50" s="159" t="s">
        <v>77</v>
      </c>
      <c r="E50" s="162" t="s">
        <v>156</v>
      </c>
      <c r="F50" s="296">
        <v>200000</v>
      </c>
      <c r="G50" s="209">
        <f t="shared" si="0"/>
        <v>400000</v>
      </c>
    </row>
    <row r="51" spans="1:7" x14ac:dyDescent="0.2">
      <c r="A51" s="158">
        <f t="shared" si="1"/>
        <v>22</v>
      </c>
      <c r="B51" s="156" t="s">
        <v>86</v>
      </c>
      <c r="C51" s="151">
        <v>1</v>
      </c>
      <c r="D51" s="159" t="s">
        <v>77</v>
      </c>
      <c r="E51" s="162"/>
      <c r="F51" s="296">
        <v>300000</v>
      </c>
      <c r="G51" s="209">
        <f t="shared" si="0"/>
        <v>300000</v>
      </c>
    </row>
    <row r="52" spans="1:7" ht="38.25" x14ac:dyDescent="0.2">
      <c r="A52" s="158">
        <f t="shared" si="1"/>
        <v>23</v>
      </c>
      <c r="B52" s="156" t="s">
        <v>87</v>
      </c>
      <c r="C52" s="151">
        <v>1</v>
      </c>
      <c r="D52" s="159" t="s">
        <v>77</v>
      </c>
      <c r="E52" s="162" t="s">
        <v>157</v>
      </c>
      <c r="F52" s="296">
        <v>200000</v>
      </c>
      <c r="G52" s="209">
        <f t="shared" si="0"/>
        <v>200000</v>
      </c>
    </row>
    <row r="53" spans="1:7" x14ac:dyDescent="0.2">
      <c r="A53" s="158">
        <f t="shared" si="1"/>
        <v>24</v>
      </c>
      <c r="B53" s="156" t="s">
        <v>88</v>
      </c>
      <c r="C53" s="151">
        <v>1</v>
      </c>
      <c r="D53" s="159" t="s">
        <v>77</v>
      </c>
      <c r="E53" s="162"/>
      <c r="F53" s="296">
        <v>300000</v>
      </c>
      <c r="G53" s="209">
        <f t="shared" si="0"/>
        <v>300000</v>
      </c>
    </row>
    <row r="54" spans="1:7" ht="38.25" x14ac:dyDescent="0.2">
      <c r="A54" s="158">
        <f t="shared" si="1"/>
        <v>25</v>
      </c>
      <c r="B54" s="156" t="s">
        <v>89</v>
      </c>
      <c r="C54" s="151">
        <v>2</v>
      </c>
      <c r="D54" s="159" t="s">
        <v>77</v>
      </c>
      <c r="E54" s="162" t="s">
        <v>157</v>
      </c>
      <c r="F54" s="296">
        <v>200000</v>
      </c>
      <c r="G54" s="209">
        <f t="shared" si="0"/>
        <v>400000</v>
      </c>
    </row>
    <row r="55" spans="1:7" x14ac:dyDescent="0.2">
      <c r="A55" s="158">
        <f>+A54+1</f>
        <v>26</v>
      </c>
      <c r="B55" s="156" t="s">
        <v>90</v>
      </c>
      <c r="C55" s="151">
        <v>1</v>
      </c>
      <c r="D55" s="159" t="s">
        <v>77</v>
      </c>
      <c r="E55" s="162"/>
      <c r="F55" s="300">
        <v>300000</v>
      </c>
      <c r="G55" s="209">
        <f t="shared" si="0"/>
        <v>300000</v>
      </c>
    </row>
    <row r="56" spans="1:7" ht="38.25" x14ac:dyDescent="0.2">
      <c r="A56" s="158">
        <f t="shared" si="1"/>
        <v>27</v>
      </c>
      <c r="B56" s="156" t="s">
        <v>91</v>
      </c>
      <c r="C56" s="151">
        <v>2</v>
      </c>
      <c r="D56" s="159" t="s">
        <v>77</v>
      </c>
      <c r="E56" s="162" t="s">
        <v>157</v>
      </c>
      <c r="F56" s="300">
        <v>200000</v>
      </c>
      <c r="G56" s="209">
        <f t="shared" si="0"/>
        <v>400000</v>
      </c>
    </row>
    <row r="57" spans="1:7" x14ac:dyDescent="0.2">
      <c r="A57" s="158">
        <f t="shared" si="1"/>
        <v>28</v>
      </c>
      <c r="B57" s="156" t="s">
        <v>92</v>
      </c>
      <c r="C57" s="151">
        <v>1</v>
      </c>
      <c r="D57" s="159" t="s">
        <v>77</v>
      </c>
      <c r="E57" s="162"/>
      <c r="F57" s="300">
        <v>300000</v>
      </c>
      <c r="G57" s="209">
        <f t="shared" si="0"/>
        <v>300000</v>
      </c>
    </row>
    <row r="58" spans="1:7" ht="38.25" x14ac:dyDescent="0.2">
      <c r="A58" s="158">
        <f t="shared" si="1"/>
        <v>29</v>
      </c>
      <c r="B58" s="156" t="s">
        <v>93</v>
      </c>
      <c r="C58" s="151">
        <v>1</v>
      </c>
      <c r="D58" s="159" t="s">
        <v>77</v>
      </c>
      <c r="E58" s="162" t="s">
        <v>157</v>
      </c>
      <c r="F58" s="300">
        <v>200000</v>
      </c>
      <c r="G58" s="209">
        <f t="shared" si="0"/>
        <v>200000</v>
      </c>
    </row>
    <row r="59" spans="1:7" x14ac:dyDescent="0.2">
      <c r="A59" s="158">
        <f t="shared" si="1"/>
        <v>30</v>
      </c>
      <c r="B59" s="156" t="s">
        <v>94</v>
      </c>
      <c r="C59" s="151">
        <v>1</v>
      </c>
      <c r="D59" s="159" t="s">
        <v>77</v>
      </c>
      <c r="E59" s="162"/>
      <c r="F59" s="300">
        <v>300000</v>
      </c>
      <c r="G59" s="209">
        <f t="shared" si="0"/>
        <v>300000</v>
      </c>
    </row>
    <row r="60" spans="1:7" ht="38.25" x14ac:dyDescent="0.2">
      <c r="A60" s="158">
        <f t="shared" si="1"/>
        <v>31</v>
      </c>
      <c r="B60" s="156" t="s">
        <v>95</v>
      </c>
      <c r="C60" s="151">
        <v>1</v>
      </c>
      <c r="D60" s="159" t="s">
        <v>77</v>
      </c>
      <c r="E60" s="162" t="s">
        <v>157</v>
      </c>
      <c r="F60" s="300">
        <v>200000</v>
      </c>
      <c r="G60" s="209">
        <f t="shared" si="0"/>
        <v>200000</v>
      </c>
    </row>
    <row r="61" spans="1:7" x14ac:dyDescent="0.2">
      <c r="A61" s="158">
        <f t="shared" si="1"/>
        <v>32</v>
      </c>
      <c r="B61" s="156" t="s">
        <v>96</v>
      </c>
      <c r="C61" s="151">
        <v>1</v>
      </c>
      <c r="D61" s="159" t="s">
        <v>77</v>
      </c>
      <c r="E61" s="162"/>
      <c r="F61" s="301">
        <v>80000</v>
      </c>
      <c r="G61" s="209">
        <f t="shared" si="0"/>
        <v>80000</v>
      </c>
    </row>
    <row r="62" spans="1:7" x14ac:dyDescent="0.2">
      <c r="A62" s="158">
        <f t="shared" si="1"/>
        <v>33</v>
      </c>
      <c r="B62" s="156" t="s">
        <v>97</v>
      </c>
      <c r="C62" s="151">
        <v>1</v>
      </c>
      <c r="D62" s="159" t="s">
        <v>77</v>
      </c>
      <c r="E62" s="162"/>
      <c r="F62" s="301">
        <v>150000</v>
      </c>
      <c r="G62" s="209">
        <f t="shared" si="0"/>
        <v>150000</v>
      </c>
    </row>
    <row r="63" spans="1:7" x14ac:dyDescent="0.2">
      <c r="A63" s="158">
        <f t="shared" si="1"/>
        <v>34</v>
      </c>
      <c r="B63" s="156" t="s">
        <v>98</v>
      </c>
      <c r="C63" s="151">
        <v>1</v>
      </c>
      <c r="D63" s="159" t="s">
        <v>77</v>
      </c>
      <c r="E63" s="162"/>
      <c r="F63" s="301">
        <v>240000</v>
      </c>
      <c r="G63" s="209">
        <f t="shared" si="0"/>
        <v>240000</v>
      </c>
    </row>
    <row r="64" spans="1:7" x14ac:dyDescent="0.2">
      <c r="A64" s="158">
        <f t="shared" si="1"/>
        <v>35</v>
      </c>
      <c r="B64" s="156" t="s">
        <v>99</v>
      </c>
      <c r="C64" s="151">
        <v>1</v>
      </c>
      <c r="D64" s="159" t="s">
        <v>77</v>
      </c>
      <c r="E64" s="162"/>
      <c r="F64" s="301">
        <v>300000</v>
      </c>
      <c r="G64" s="209">
        <f t="shared" si="0"/>
        <v>300000</v>
      </c>
    </row>
    <row r="65" spans="1:7" x14ac:dyDescent="0.2">
      <c r="A65" s="158">
        <f t="shared" si="1"/>
        <v>36</v>
      </c>
      <c r="B65" s="156" t="s">
        <v>100</v>
      </c>
      <c r="C65" s="151">
        <v>1</v>
      </c>
      <c r="D65" s="154" t="s">
        <v>77</v>
      </c>
      <c r="E65" s="162"/>
      <c r="F65" s="301">
        <v>600000</v>
      </c>
      <c r="G65" s="209">
        <f t="shared" si="0"/>
        <v>600000</v>
      </c>
    </row>
    <row r="66" spans="1:7" x14ac:dyDescent="0.2">
      <c r="A66" s="158">
        <f t="shared" si="1"/>
        <v>37</v>
      </c>
      <c r="B66" s="156" t="s">
        <v>155</v>
      </c>
      <c r="C66" s="151">
        <v>5000</v>
      </c>
      <c r="D66" s="159"/>
      <c r="E66" s="162"/>
      <c r="F66" s="296">
        <v>1000</v>
      </c>
      <c r="G66" s="209">
        <f t="shared" si="0"/>
        <v>5000000</v>
      </c>
    </row>
    <row r="67" spans="1:7" ht="14.25" customHeight="1" x14ac:dyDescent="0.2">
      <c r="A67" s="143"/>
      <c r="B67" s="552" t="s">
        <v>178</v>
      </c>
      <c r="C67" s="553"/>
      <c r="D67" s="553"/>
      <c r="E67" s="553"/>
      <c r="F67" s="553"/>
      <c r="G67" s="554"/>
    </row>
    <row r="68" spans="1:7" x14ac:dyDescent="0.2">
      <c r="A68" s="158">
        <v>1</v>
      </c>
      <c r="B68" s="156" t="s">
        <v>163</v>
      </c>
      <c r="C68" s="160">
        <v>58500</v>
      </c>
      <c r="D68" s="159" t="s">
        <v>77</v>
      </c>
      <c r="E68" s="162"/>
      <c r="F68" s="296">
        <v>550</v>
      </c>
      <c r="G68" s="209">
        <f t="shared" si="0"/>
        <v>32175000</v>
      </c>
    </row>
    <row r="69" spans="1:7" x14ac:dyDescent="0.2">
      <c r="A69" s="158">
        <v>2</v>
      </c>
      <c r="B69" s="156" t="s">
        <v>164</v>
      </c>
      <c r="C69" s="160"/>
      <c r="D69" s="159"/>
      <c r="E69" s="162"/>
      <c r="F69" s="296">
        <v>2000000</v>
      </c>
      <c r="G69" s="209">
        <f>F69</f>
        <v>2000000</v>
      </c>
    </row>
    <row r="70" spans="1:7" ht="27.75" customHeight="1" x14ac:dyDescent="0.2">
      <c r="A70" s="158">
        <v>5</v>
      </c>
      <c r="B70" s="156" t="s">
        <v>167</v>
      </c>
      <c r="C70" s="160">
        <v>29250</v>
      </c>
      <c r="D70" s="159" t="s">
        <v>77</v>
      </c>
      <c r="E70" s="162"/>
      <c r="F70" s="301">
        <v>600</v>
      </c>
      <c r="G70" s="209">
        <f t="shared" si="0"/>
        <v>17550000</v>
      </c>
    </row>
    <row r="71" spans="1:7" ht="30" customHeight="1" x14ac:dyDescent="0.2">
      <c r="A71" s="158">
        <v>6</v>
      </c>
      <c r="B71" s="156" t="s">
        <v>168</v>
      </c>
      <c r="C71" s="160"/>
      <c r="D71" s="159"/>
      <c r="E71" s="162"/>
      <c r="F71" s="301">
        <v>2000000</v>
      </c>
      <c r="G71" s="209">
        <f t="shared" si="0"/>
        <v>0</v>
      </c>
    </row>
    <row r="72" spans="1:7" ht="14.25" customHeight="1" x14ac:dyDescent="0.2">
      <c r="A72" s="143"/>
      <c r="B72" s="142" t="s">
        <v>179</v>
      </c>
      <c r="C72" s="144"/>
      <c r="D72" s="142"/>
      <c r="E72" s="145"/>
      <c r="F72" s="145"/>
      <c r="G72" s="197"/>
    </row>
    <row r="73" spans="1:7" x14ac:dyDescent="0.2">
      <c r="A73" s="158" t="s">
        <v>180</v>
      </c>
      <c r="B73" s="156" t="s">
        <v>143</v>
      </c>
      <c r="C73" s="151">
        <v>1</v>
      </c>
      <c r="D73" s="159" t="s">
        <v>106</v>
      </c>
      <c r="E73" s="162" t="s">
        <v>130</v>
      </c>
      <c r="F73" s="301">
        <v>5000000</v>
      </c>
      <c r="G73" s="209">
        <f t="shared" ref="G73:G75" si="2">+F73*C73</f>
        <v>5000000</v>
      </c>
    </row>
    <row r="74" spans="1:7" x14ac:dyDescent="0.2">
      <c r="A74" s="158" t="s">
        <v>181</v>
      </c>
      <c r="B74" s="156" t="s">
        <v>118</v>
      </c>
      <c r="C74" s="151">
        <v>1</v>
      </c>
      <c r="D74" s="159" t="s">
        <v>119</v>
      </c>
      <c r="E74" s="163" t="s">
        <v>109</v>
      </c>
      <c r="F74" s="296">
        <v>30000000</v>
      </c>
      <c r="G74" s="209">
        <f t="shared" si="2"/>
        <v>30000000</v>
      </c>
    </row>
    <row r="75" spans="1:7" ht="42" customHeight="1" x14ac:dyDescent="0.2">
      <c r="A75" s="158" t="s">
        <v>182</v>
      </c>
      <c r="B75" s="156" t="s">
        <v>120</v>
      </c>
      <c r="C75" s="160">
        <v>4000</v>
      </c>
      <c r="D75" s="159" t="s">
        <v>108</v>
      </c>
      <c r="E75" s="164" t="s">
        <v>158</v>
      </c>
      <c r="F75" s="301">
        <v>800</v>
      </c>
      <c r="G75" s="209">
        <f t="shared" si="2"/>
        <v>3200000</v>
      </c>
    </row>
    <row r="76" spans="1:7" ht="25.5" x14ac:dyDescent="0.2">
      <c r="A76" s="143"/>
      <c r="B76" s="165" t="s">
        <v>121</v>
      </c>
      <c r="C76" s="144"/>
      <c r="D76" s="142"/>
      <c r="E76" s="145"/>
      <c r="F76" s="145"/>
      <c r="G76" s="197"/>
    </row>
    <row r="77" spans="1:7" x14ac:dyDescent="0.2">
      <c r="A77" s="158"/>
      <c r="B77" s="156" t="s">
        <v>122</v>
      </c>
      <c r="C77" s="151"/>
      <c r="D77" s="159"/>
      <c r="E77" s="162"/>
      <c r="F77" s="302">
        <v>3000000</v>
      </c>
      <c r="G77" s="209">
        <f>F77</f>
        <v>3000000</v>
      </c>
    </row>
    <row r="78" spans="1:7" x14ac:dyDescent="0.2">
      <c r="A78" s="143"/>
      <c r="B78" s="165" t="s">
        <v>183</v>
      </c>
      <c r="C78" s="144"/>
      <c r="D78" s="142"/>
      <c r="E78" s="145"/>
      <c r="F78" s="145"/>
      <c r="G78" s="197"/>
    </row>
    <row r="79" spans="1:7" ht="38.25" x14ac:dyDescent="0.2">
      <c r="A79" s="146" t="s">
        <v>184</v>
      </c>
      <c r="B79" s="147" t="s">
        <v>162</v>
      </c>
      <c r="C79" s="148">
        <v>1</v>
      </c>
      <c r="D79" s="166" t="s">
        <v>77</v>
      </c>
      <c r="E79" s="163" t="s">
        <v>169</v>
      </c>
      <c r="F79" s="296">
        <v>20000000</v>
      </c>
      <c r="G79" s="209">
        <f t="shared" ref="G79:G81" si="3">+F79*C79</f>
        <v>20000000</v>
      </c>
    </row>
    <row r="80" spans="1:7" x14ac:dyDescent="0.2">
      <c r="A80" s="167"/>
      <c r="B80" s="168" t="s">
        <v>185</v>
      </c>
      <c r="C80" s="169"/>
      <c r="D80" s="168"/>
      <c r="E80" s="170"/>
      <c r="F80" s="170"/>
      <c r="G80" s="205"/>
    </row>
    <row r="81" spans="1:8" ht="169.5" customHeight="1" x14ac:dyDescent="0.2">
      <c r="A81" s="146">
        <v>2.6</v>
      </c>
      <c r="B81" s="156" t="s">
        <v>103</v>
      </c>
      <c r="C81" s="151">
        <v>10</v>
      </c>
      <c r="D81" s="154" t="s">
        <v>105</v>
      </c>
      <c r="E81" s="149" t="s">
        <v>104</v>
      </c>
      <c r="F81" s="303">
        <v>7000000</v>
      </c>
      <c r="G81" s="209">
        <f t="shared" si="3"/>
        <v>70000000</v>
      </c>
      <c r="H81" s="171"/>
    </row>
    <row r="82" spans="1:8" x14ac:dyDescent="0.2">
      <c r="G82" s="188">
        <f>SUM(G12:G81)</f>
        <v>854655000</v>
      </c>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id="rId1"/>
  <rowBreaks count="2" manualBreakCount="2">
    <brk id="42" max="6" man="1"/>
    <brk id="7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C48" zoomScale="90" zoomScaleNormal="9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545" t="s">
        <v>102</v>
      </c>
      <c r="B8" s="545"/>
      <c r="C8" s="545"/>
      <c r="D8" s="545"/>
      <c r="E8" s="545"/>
      <c r="F8" s="545"/>
      <c r="G8" s="545"/>
    </row>
    <row r="9" spans="1:7" ht="25.5" x14ac:dyDescent="0.2">
      <c r="A9" s="546" t="s">
        <v>62</v>
      </c>
      <c r="B9" s="547"/>
      <c r="C9" s="138" t="s">
        <v>63</v>
      </c>
      <c r="D9" s="139" t="s">
        <v>64</v>
      </c>
      <c r="E9" s="293" t="s">
        <v>65</v>
      </c>
      <c r="F9" s="179" t="s">
        <v>101</v>
      </c>
      <c r="G9" s="179" t="s">
        <v>61</v>
      </c>
    </row>
    <row r="10" spans="1:7" x14ac:dyDescent="0.2">
      <c r="A10" s="141"/>
      <c r="B10" s="142" t="s">
        <v>117</v>
      </c>
      <c r="C10" s="138"/>
      <c r="D10" s="139"/>
      <c r="E10" s="293"/>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1"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305.25" customHeight="1" thickBot="1" x14ac:dyDescent="0.25">
      <c r="A19" s="152">
        <v>2.4</v>
      </c>
      <c r="B19" s="147" t="s">
        <v>153</v>
      </c>
      <c r="C19" s="148">
        <v>2</v>
      </c>
      <c r="D19" s="148" t="s">
        <v>145</v>
      </c>
      <c r="E19" s="149" t="s">
        <v>154</v>
      </c>
      <c r="F19" s="182">
        <v>19000000</v>
      </c>
      <c r="G19" s="181">
        <f t="shared" si="0"/>
        <v>38000000</v>
      </c>
    </row>
    <row r="20" spans="1:7" ht="55.5" customHeight="1" x14ac:dyDescent="0.2">
      <c r="A20" s="152">
        <v>2</v>
      </c>
      <c r="B20" s="147" t="s">
        <v>144</v>
      </c>
      <c r="C20" s="147">
        <v>10</v>
      </c>
      <c r="D20" s="147" t="s">
        <v>145</v>
      </c>
      <c r="E20" s="147" t="s">
        <v>146</v>
      </c>
      <c r="F20" s="183">
        <v>5000000</v>
      </c>
      <c r="G20" s="181">
        <f t="shared" si="0"/>
        <v>50000000</v>
      </c>
    </row>
    <row r="21" spans="1:7" ht="216.75" customHeight="1" x14ac:dyDescent="0.2">
      <c r="A21" s="152">
        <v>2.1</v>
      </c>
      <c r="B21" s="147" t="s">
        <v>189</v>
      </c>
      <c r="C21" s="147">
        <v>48</v>
      </c>
      <c r="D21" s="147" t="s">
        <v>145</v>
      </c>
      <c r="E21" s="147" t="s">
        <v>147</v>
      </c>
      <c r="F21" s="184">
        <v>3500000</v>
      </c>
      <c r="G21" s="181">
        <f t="shared" si="0"/>
        <v>168000000</v>
      </c>
    </row>
    <row r="22" spans="1:7" ht="68.25" customHeight="1" x14ac:dyDescent="0.2">
      <c r="A22" s="152">
        <v>2.1</v>
      </c>
      <c r="B22" s="147" t="s">
        <v>148</v>
      </c>
      <c r="C22" s="147">
        <v>8</v>
      </c>
      <c r="D22" s="147" t="s">
        <v>145</v>
      </c>
      <c r="E22" s="147" t="s">
        <v>66</v>
      </c>
      <c r="F22" s="181">
        <v>1200000</v>
      </c>
      <c r="G22" s="181">
        <f t="shared" si="0"/>
        <v>9600000</v>
      </c>
    </row>
    <row r="23" spans="1:7" x14ac:dyDescent="0.2">
      <c r="A23" s="548">
        <v>2.1</v>
      </c>
      <c r="B23" s="551" t="s">
        <v>67</v>
      </c>
      <c r="C23" s="153">
        <v>8</v>
      </c>
      <c r="D23" s="154" t="s">
        <v>145</v>
      </c>
      <c r="E23" s="155" t="s">
        <v>68</v>
      </c>
      <c r="F23" s="181">
        <v>280000</v>
      </c>
      <c r="G23" s="181">
        <f t="shared" si="0"/>
        <v>2240000</v>
      </c>
    </row>
    <row r="24" spans="1:7" x14ac:dyDescent="0.2">
      <c r="A24" s="549"/>
      <c r="B24" s="551"/>
      <c r="C24" s="153">
        <v>8</v>
      </c>
      <c r="D24" s="154" t="s">
        <v>145</v>
      </c>
      <c r="E24" s="155" t="s">
        <v>69</v>
      </c>
      <c r="F24" s="181">
        <v>280000</v>
      </c>
      <c r="G24" s="181">
        <f t="shared" si="0"/>
        <v>2240000</v>
      </c>
    </row>
    <row r="25" spans="1:7" x14ac:dyDescent="0.2">
      <c r="A25" s="550"/>
      <c r="B25" s="551"/>
      <c r="C25" s="153">
        <v>8</v>
      </c>
      <c r="D25" s="154" t="s">
        <v>145</v>
      </c>
      <c r="E25" s="155" t="s">
        <v>70</v>
      </c>
      <c r="F25" s="181">
        <v>160000</v>
      </c>
      <c r="G25" s="181">
        <f t="shared" si="0"/>
        <v>1280000</v>
      </c>
    </row>
    <row r="26" spans="1:7" x14ac:dyDescent="0.2">
      <c r="A26" s="152">
        <v>2.1</v>
      </c>
      <c r="B26" s="156" t="s">
        <v>71</v>
      </c>
      <c r="C26" s="154">
        <v>8</v>
      </c>
      <c r="D26" s="154" t="s">
        <v>145</v>
      </c>
      <c r="E26" s="156" t="s">
        <v>72</v>
      </c>
      <c r="F26" s="181">
        <v>13200000</v>
      </c>
      <c r="G26" s="181">
        <f t="shared" si="0"/>
        <v>105600000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7" t="s">
        <v>73</v>
      </c>
      <c r="C28" s="151">
        <v>8</v>
      </c>
      <c r="D28" s="151" t="s">
        <v>75</v>
      </c>
      <c r="E28" s="162" t="s">
        <v>74</v>
      </c>
      <c r="F28" s="181">
        <v>700000</v>
      </c>
      <c r="G28" s="181">
        <f t="shared" si="0"/>
        <v>5600000</v>
      </c>
    </row>
    <row r="29" spans="1:7" x14ac:dyDescent="0.2">
      <c r="A29" s="143"/>
      <c r="B29" s="142" t="s">
        <v>177</v>
      </c>
      <c r="C29" s="144"/>
      <c r="D29" s="142"/>
      <c r="E29" s="145"/>
      <c r="F29" s="180"/>
      <c r="G29" s="180"/>
    </row>
    <row r="30" spans="1:7" x14ac:dyDescent="0.2">
      <c r="A30" s="158">
        <v>1</v>
      </c>
      <c r="B30" s="156" t="s">
        <v>78</v>
      </c>
      <c r="C30" s="151">
        <v>1</v>
      </c>
      <c r="D30" s="159" t="s">
        <v>77</v>
      </c>
      <c r="E30" s="162"/>
      <c r="F30" s="181">
        <v>650000</v>
      </c>
      <c r="G30" s="181">
        <f t="shared" si="0"/>
        <v>650000</v>
      </c>
    </row>
    <row r="31" spans="1:7" x14ac:dyDescent="0.2">
      <c r="A31" s="158">
        <f t="shared" ref="A31:A66" si="1">+A30+1</f>
        <v>2</v>
      </c>
      <c r="B31" s="156" t="s">
        <v>79</v>
      </c>
      <c r="C31" s="160">
        <v>30000</v>
      </c>
      <c r="D31" s="159" t="s">
        <v>77</v>
      </c>
      <c r="E31" s="162"/>
      <c r="F31" s="181">
        <v>1300</v>
      </c>
      <c r="G31" s="181">
        <f>+F31*C31</f>
        <v>39000000</v>
      </c>
    </row>
    <row r="32" spans="1:7" x14ac:dyDescent="0.2">
      <c r="A32" s="158">
        <f t="shared" si="1"/>
        <v>3</v>
      </c>
      <c r="B32" s="156" t="s">
        <v>80</v>
      </c>
      <c r="C32" s="151">
        <v>1</v>
      </c>
      <c r="D32" s="159" t="s">
        <v>77</v>
      </c>
      <c r="E32" s="162"/>
      <c r="F32" s="181">
        <v>2100000</v>
      </c>
      <c r="G32" s="181">
        <f t="shared" si="0"/>
        <v>2100000</v>
      </c>
    </row>
    <row r="33" spans="1:7" x14ac:dyDescent="0.2">
      <c r="A33" s="158">
        <f t="shared" si="1"/>
        <v>4</v>
      </c>
      <c r="B33" s="156" t="s">
        <v>81</v>
      </c>
      <c r="C33" s="151">
        <v>2</v>
      </c>
      <c r="D33" s="159" t="s">
        <v>77</v>
      </c>
      <c r="E33" s="162"/>
      <c r="F33" s="181">
        <v>1500000</v>
      </c>
      <c r="G33" s="181">
        <f t="shared" si="0"/>
        <v>3000000</v>
      </c>
    </row>
    <row r="34" spans="1:7" x14ac:dyDescent="0.2">
      <c r="A34" s="158">
        <f t="shared" si="1"/>
        <v>5</v>
      </c>
      <c r="B34" s="156" t="s">
        <v>82</v>
      </c>
      <c r="C34" s="151">
        <v>4</v>
      </c>
      <c r="D34" s="159" t="s">
        <v>77</v>
      </c>
      <c r="E34" s="162"/>
      <c r="F34" s="181">
        <v>1400000</v>
      </c>
      <c r="G34" s="181">
        <f t="shared" si="0"/>
        <v>5600000</v>
      </c>
    </row>
    <row r="35" spans="1:7" x14ac:dyDescent="0.2">
      <c r="A35" s="158">
        <f t="shared" si="1"/>
        <v>6</v>
      </c>
      <c r="B35" s="156" t="s">
        <v>137</v>
      </c>
      <c r="C35" s="151">
        <v>4</v>
      </c>
      <c r="D35" s="159" t="s">
        <v>77</v>
      </c>
      <c r="E35" s="162"/>
      <c r="F35" s="181">
        <v>600000</v>
      </c>
      <c r="G35" s="181">
        <f t="shared" si="0"/>
        <v>2400000</v>
      </c>
    </row>
    <row r="36" spans="1:7" x14ac:dyDescent="0.2">
      <c r="A36" s="158">
        <f t="shared" si="1"/>
        <v>7</v>
      </c>
      <c r="B36" s="156" t="s">
        <v>138</v>
      </c>
      <c r="C36" s="160">
        <v>40000</v>
      </c>
      <c r="D36" s="159" t="s">
        <v>77</v>
      </c>
      <c r="E36" s="162"/>
      <c r="F36" s="184">
        <v>310</v>
      </c>
      <c r="G36" s="181">
        <f t="shared" si="0"/>
        <v>12400000</v>
      </c>
    </row>
    <row r="37" spans="1:7" x14ac:dyDescent="0.2">
      <c r="A37" s="158">
        <f t="shared" si="1"/>
        <v>8</v>
      </c>
      <c r="B37" s="156" t="s">
        <v>139</v>
      </c>
      <c r="C37" s="151">
        <v>2</v>
      </c>
      <c r="D37" s="159" t="s">
        <v>77</v>
      </c>
      <c r="E37" s="162"/>
      <c r="F37" s="181">
        <v>900000</v>
      </c>
      <c r="G37" s="181">
        <f t="shared" si="0"/>
        <v>1800000</v>
      </c>
    </row>
    <row r="38" spans="1:7" x14ac:dyDescent="0.2">
      <c r="A38" s="158">
        <f t="shared" si="1"/>
        <v>9</v>
      </c>
      <c r="B38" s="156" t="s">
        <v>140</v>
      </c>
      <c r="C38" s="160">
        <v>20000</v>
      </c>
      <c r="D38" s="159" t="s">
        <v>77</v>
      </c>
      <c r="E38" s="162"/>
      <c r="F38" s="184">
        <v>360</v>
      </c>
      <c r="G38" s="181">
        <f t="shared" si="0"/>
        <v>7200000</v>
      </c>
    </row>
    <row r="39" spans="1:7" x14ac:dyDescent="0.2">
      <c r="A39" s="158">
        <f t="shared" si="1"/>
        <v>10</v>
      </c>
      <c r="B39" s="156" t="s">
        <v>141</v>
      </c>
      <c r="C39" s="151">
        <v>2</v>
      </c>
      <c r="D39" s="159" t="s">
        <v>77</v>
      </c>
      <c r="E39" s="162"/>
      <c r="F39" s="181">
        <v>1200000</v>
      </c>
      <c r="G39" s="181">
        <f t="shared" si="0"/>
        <v>2400000</v>
      </c>
    </row>
    <row r="40" spans="1:7" x14ac:dyDescent="0.2">
      <c r="A40" s="158">
        <f t="shared" si="1"/>
        <v>11</v>
      </c>
      <c r="B40" s="156" t="s">
        <v>142</v>
      </c>
      <c r="C40" s="160">
        <v>20000</v>
      </c>
      <c r="D40" s="159" t="s">
        <v>77</v>
      </c>
      <c r="E40" s="162"/>
      <c r="F40" s="184">
        <v>360</v>
      </c>
      <c r="G40" s="181">
        <f t="shared" si="0"/>
        <v>7200000</v>
      </c>
    </row>
    <row r="41" spans="1:7" x14ac:dyDescent="0.2">
      <c r="A41" s="158">
        <f t="shared" si="1"/>
        <v>12</v>
      </c>
      <c r="B41" s="156" t="s">
        <v>133</v>
      </c>
      <c r="C41" s="160">
        <v>5000</v>
      </c>
      <c r="D41" s="159" t="s">
        <v>77</v>
      </c>
      <c r="E41" s="162"/>
      <c r="F41" s="181">
        <v>3500</v>
      </c>
      <c r="G41" s="181">
        <f t="shared" si="0"/>
        <v>17500000</v>
      </c>
    </row>
    <row r="42" spans="1:7" ht="28.5" customHeight="1" x14ac:dyDescent="0.2">
      <c r="A42" s="158">
        <f t="shared" si="1"/>
        <v>13</v>
      </c>
      <c r="B42" s="156" t="s">
        <v>188</v>
      </c>
      <c r="C42" s="160">
        <v>5000</v>
      </c>
      <c r="D42" s="159" t="s">
        <v>77</v>
      </c>
      <c r="E42" s="162"/>
      <c r="F42" s="181">
        <v>1800</v>
      </c>
      <c r="G42" s="181">
        <f t="shared" si="0"/>
        <v>9000000</v>
      </c>
    </row>
    <row r="43" spans="1:7" x14ac:dyDescent="0.2">
      <c r="A43" s="158">
        <f t="shared" si="1"/>
        <v>14</v>
      </c>
      <c r="B43" s="156" t="s">
        <v>124</v>
      </c>
      <c r="C43" s="160">
        <v>1</v>
      </c>
      <c r="D43" s="159" t="s">
        <v>77</v>
      </c>
      <c r="E43" s="162"/>
      <c r="F43" s="181">
        <v>800000</v>
      </c>
      <c r="G43" s="181">
        <f t="shared" si="0"/>
        <v>800000</v>
      </c>
    </row>
    <row r="44" spans="1:7" x14ac:dyDescent="0.2">
      <c r="A44" s="158">
        <f t="shared" si="1"/>
        <v>15</v>
      </c>
      <c r="B44" s="161" t="s">
        <v>125</v>
      </c>
      <c r="C44" s="160">
        <v>5000</v>
      </c>
      <c r="D44" s="159" t="s">
        <v>77</v>
      </c>
      <c r="E44" s="162"/>
      <c r="F44" s="181">
        <v>5400</v>
      </c>
      <c r="G44" s="181">
        <f t="shared" si="0"/>
        <v>27000000</v>
      </c>
    </row>
    <row r="45" spans="1:7" x14ac:dyDescent="0.2">
      <c r="A45" s="158">
        <f t="shared" si="1"/>
        <v>16</v>
      </c>
      <c r="B45" s="161" t="s">
        <v>126</v>
      </c>
      <c r="C45" s="151">
        <v>1</v>
      </c>
      <c r="D45" s="159" t="s">
        <v>77</v>
      </c>
      <c r="E45" s="162"/>
      <c r="F45" s="181">
        <v>775000</v>
      </c>
      <c r="G45" s="181">
        <f t="shared" si="0"/>
        <v>775000</v>
      </c>
    </row>
    <row r="46" spans="1:7" x14ac:dyDescent="0.2">
      <c r="A46" s="158">
        <f t="shared" si="1"/>
        <v>17</v>
      </c>
      <c r="B46" s="161" t="s">
        <v>134</v>
      </c>
      <c r="C46" s="160">
        <v>5000</v>
      </c>
      <c r="D46" s="159" t="s">
        <v>77</v>
      </c>
      <c r="E46" s="162"/>
      <c r="F46" s="181">
        <v>4000</v>
      </c>
      <c r="G46" s="181">
        <f t="shared" si="0"/>
        <v>20000000</v>
      </c>
    </row>
    <row r="47" spans="1:7" x14ac:dyDescent="0.2">
      <c r="A47" s="158">
        <f t="shared" si="1"/>
        <v>18</v>
      </c>
      <c r="B47" s="156" t="s">
        <v>83</v>
      </c>
      <c r="C47" s="151">
        <v>5</v>
      </c>
      <c r="D47" s="159" t="s">
        <v>77</v>
      </c>
      <c r="E47" s="162"/>
      <c r="F47" s="181">
        <v>650000</v>
      </c>
      <c r="G47" s="181">
        <f t="shared" si="0"/>
        <v>3250000</v>
      </c>
    </row>
    <row r="48" spans="1:7" ht="25.5" x14ac:dyDescent="0.2">
      <c r="A48" s="158">
        <f t="shared" si="1"/>
        <v>19</v>
      </c>
      <c r="B48" s="156" t="s">
        <v>135</v>
      </c>
      <c r="C48" s="148">
        <v>40</v>
      </c>
      <c r="D48" s="159" t="s">
        <v>77</v>
      </c>
      <c r="E48" s="162" t="s">
        <v>156</v>
      </c>
      <c r="F48" s="181">
        <v>290000</v>
      </c>
      <c r="G48" s="181">
        <f t="shared" si="0"/>
        <v>11600000</v>
      </c>
    </row>
    <row r="49" spans="1:7" x14ac:dyDescent="0.2">
      <c r="A49" s="158">
        <f t="shared" si="1"/>
        <v>20</v>
      </c>
      <c r="B49" s="156" t="s">
        <v>84</v>
      </c>
      <c r="C49" s="151">
        <v>1</v>
      </c>
      <c r="D49" s="159" t="s">
        <v>77</v>
      </c>
      <c r="E49" s="162"/>
      <c r="F49" s="181">
        <v>650000</v>
      </c>
      <c r="G49" s="181">
        <f t="shared" si="0"/>
        <v>650000</v>
      </c>
    </row>
    <row r="50" spans="1:7" ht="25.5" x14ac:dyDescent="0.2">
      <c r="A50" s="158">
        <f t="shared" si="1"/>
        <v>21</v>
      </c>
      <c r="B50" s="156" t="s">
        <v>85</v>
      </c>
      <c r="C50" s="151">
        <v>2</v>
      </c>
      <c r="D50" s="159" t="s">
        <v>77</v>
      </c>
      <c r="E50" s="162" t="s">
        <v>156</v>
      </c>
      <c r="F50" s="181">
        <v>390000</v>
      </c>
      <c r="G50" s="181">
        <f t="shared" si="0"/>
        <v>780000</v>
      </c>
    </row>
    <row r="51" spans="1:7" x14ac:dyDescent="0.2">
      <c r="A51" s="158">
        <f t="shared" si="1"/>
        <v>22</v>
      </c>
      <c r="B51" s="156" t="s">
        <v>86</v>
      </c>
      <c r="C51" s="151">
        <v>1</v>
      </c>
      <c r="D51" s="159" t="s">
        <v>77</v>
      </c>
      <c r="E51" s="162"/>
      <c r="F51" s="181">
        <v>730000</v>
      </c>
      <c r="G51" s="181">
        <f t="shared" si="0"/>
        <v>730000</v>
      </c>
    </row>
    <row r="52" spans="1:7" ht="38.25" x14ac:dyDescent="0.2">
      <c r="A52" s="158">
        <f t="shared" si="1"/>
        <v>23</v>
      </c>
      <c r="B52" s="156" t="s">
        <v>87</v>
      </c>
      <c r="C52" s="151">
        <v>1</v>
      </c>
      <c r="D52" s="159" t="s">
        <v>77</v>
      </c>
      <c r="E52" s="162" t="s">
        <v>157</v>
      </c>
      <c r="F52" s="181">
        <v>280000</v>
      </c>
      <c r="G52" s="181">
        <f t="shared" si="0"/>
        <v>280000</v>
      </c>
    </row>
    <row r="53" spans="1:7" x14ac:dyDescent="0.2">
      <c r="A53" s="158">
        <f t="shared" si="1"/>
        <v>24</v>
      </c>
      <c r="B53" s="156" t="s">
        <v>88</v>
      </c>
      <c r="C53" s="151">
        <v>1</v>
      </c>
      <c r="D53" s="159" t="s">
        <v>77</v>
      </c>
      <c r="E53" s="162"/>
      <c r="F53" s="181">
        <v>730000</v>
      </c>
      <c r="G53" s="181">
        <f t="shared" si="0"/>
        <v>730000</v>
      </c>
    </row>
    <row r="54" spans="1:7" ht="38.25" x14ac:dyDescent="0.2">
      <c r="A54" s="158">
        <f t="shared" si="1"/>
        <v>25</v>
      </c>
      <c r="B54" s="156" t="s">
        <v>89</v>
      </c>
      <c r="C54" s="151">
        <v>2</v>
      </c>
      <c r="D54" s="159" t="s">
        <v>77</v>
      </c>
      <c r="E54" s="162" t="s">
        <v>157</v>
      </c>
      <c r="F54" s="181">
        <v>540000</v>
      </c>
      <c r="G54" s="181">
        <f t="shared" si="0"/>
        <v>1080000</v>
      </c>
    </row>
    <row r="55" spans="1:7" x14ac:dyDescent="0.2">
      <c r="A55" s="158">
        <f>+A54+1</f>
        <v>26</v>
      </c>
      <c r="B55" s="156" t="s">
        <v>90</v>
      </c>
      <c r="C55" s="151">
        <v>1</v>
      </c>
      <c r="D55" s="159" t="s">
        <v>77</v>
      </c>
      <c r="E55" s="162"/>
      <c r="F55" s="181">
        <v>790000</v>
      </c>
      <c r="G55" s="181">
        <f t="shared" si="0"/>
        <v>790000</v>
      </c>
    </row>
    <row r="56" spans="1:7" ht="38.25" x14ac:dyDescent="0.2">
      <c r="A56" s="158">
        <f t="shared" si="1"/>
        <v>27</v>
      </c>
      <c r="B56" s="156" t="s">
        <v>91</v>
      </c>
      <c r="C56" s="151">
        <v>2</v>
      </c>
      <c r="D56" s="159" t="s">
        <v>77</v>
      </c>
      <c r="E56" s="162" t="s">
        <v>157</v>
      </c>
      <c r="F56" s="181" t="s">
        <v>190</v>
      </c>
      <c r="G56" s="181" t="s">
        <v>190</v>
      </c>
    </row>
    <row r="57" spans="1:7" x14ac:dyDescent="0.2">
      <c r="A57" s="158">
        <f t="shared" si="1"/>
        <v>28</v>
      </c>
      <c r="B57" s="156" t="s">
        <v>92</v>
      </c>
      <c r="C57" s="151">
        <v>1</v>
      </c>
      <c r="D57" s="159" t="s">
        <v>77</v>
      </c>
      <c r="E57" s="162"/>
      <c r="F57" s="181">
        <v>920000</v>
      </c>
      <c r="G57" s="181">
        <f t="shared" si="0"/>
        <v>920000</v>
      </c>
    </row>
    <row r="58" spans="1:7" ht="38.25" x14ac:dyDescent="0.2">
      <c r="A58" s="158">
        <f t="shared" si="1"/>
        <v>29</v>
      </c>
      <c r="B58" s="156" t="s">
        <v>93</v>
      </c>
      <c r="C58" s="151">
        <v>1</v>
      </c>
      <c r="D58" s="159" t="s">
        <v>77</v>
      </c>
      <c r="E58" s="162" t="s">
        <v>157</v>
      </c>
      <c r="F58" s="181" t="s">
        <v>190</v>
      </c>
      <c r="G58" s="181" t="s">
        <v>190</v>
      </c>
    </row>
    <row r="59" spans="1:7" x14ac:dyDescent="0.2">
      <c r="A59" s="158">
        <f t="shared" si="1"/>
        <v>30</v>
      </c>
      <c r="B59" s="156" t="s">
        <v>94</v>
      </c>
      <c r="C59" s="151">
        <v>1</v>
      </c>
      <c r="D59" s="159" t="s">
        <v>77</v>
      </c>
      <c r="E59" s="162"/>
      <c r="F59" s="181">
        <v>920000</v>
      </c>
      <c r="G59" s="181">
        <f t="shared" si="0"/>
        <v>920000</v>
      </c>
    </row>
    <row r="60" spans="1:7" ht="38.25" x14ac:dyDescent="0.2">
      <c r="A60" s="158">
        <f t="shared" si="1"/>
        <v>31</v>
      </c>
      <c r="B60" s="156" t="s">
        <v>95</v>
      </c>
      <c r="C60" s="151">
        <v>1</v>
      </c>
      <c r="D60" s="159" t="s">
        <v>77</v>
      </c>
      <c r="E60" s="162" t="s">
        <v>157</v>
      </c>
      <c r="F60" s="181" t="s">
        <v>190</v>
      </c>
      <c r="G60" s="181" t="s">
        <v>190</v>
      </c>
    </row>
    <row r="61" spans="1:7" hidden="1" x14ac:dyDescent="0.2">
      <c r="A61" s="158">
        <f t="shared" si="1"/>
        <v>32</v>
      </c>
      <c r="B61" s="156" t="s">
        <v>96</v>
      </c>
      <c r="C61" s="151">
        <v>1</v>
      </c>
      <c r="D61" s="159" t="s">
        <v>77</v>
      </c>
      <c r="E61" s="162"/>
      <c r="F61" s="181"/>
      <c r="G61" s="181">
        <f t="shared" si="0"/>
        <v>0</v>
      </c>
    </row>
    <row r="62" spans="1:7" hidden="1" x14ac:dyDescent="0.2">
      <c r="A62" s="158">
        <f t="shared" si="1"/>
        <v>33</v>
      </c>
      <c r="B62" s="156" t="s">
        <v>97</v>
      </c>
      <c r="C62" s="151">
        <v>1</v>
      </c>
      <c r="D62" s="159" t="s">
        <v>77</v>
      </c>
      <c r="E62" s="162"/>
      <c r="F62" s="181"/>
      <c r="G62" s="181">
        <f t="shared" si="0"/>
        <v>0</v>
      </c>
    </row>
    <row r="63" spans="1:7" hidden="1" x14ac:dyDescent="0.2">
      <c r="A63" s="158">
        <f t="shared" si="1"/>
        <v>34</v>
      </c>
      <c r="B63" s="156" t="s">
        <v>98</v>
      </c>
      <c r="C63" s="151">
        <v>1</v>
      </c>
      <c r="D63" s="159" t="s">
        <v>77</v>
      </c>
      <c r="E63" s="162"/>
      <c r="F63" s="181"/>
      <c r="G63" s="181">
        <f t="shared" si="0"/>
        <v>0</v>
      </c>
    </row>
    <row r="64" spans="1:7" hidden="1" x14ac:dyDescent="0.2">
      <c r="A64" s="158">
        <f t="shared" si="1"/>
        <v>35</v>
      </c>
      <c r="B64" s="156" t="s">
        <v>99</v>
      </c>
      <c r="C64" s="151">
        <v>1</v>
      </c>
      <c r="D64" s="159" t="s">
        <v>77</v>
      </c>
      <c r="E64" s="162"/>
      <c r="F64" s="181"/>
      <c r="G64" s="181">
        <f t="shared" si="0"/>
        <v>0</v>
      </c>
    </row>
    <row r="65" spans="1:7" hidden="1" x14ac:dyDescent="0.2">
      <c r="A65" s="158">
        <f t="shared" si="1"/>
        <v>36</v>
      </c>
      <c r="B65" s="156" t="s">
        <v>100</v>
      </c>
      <c r="C65" s="151">
        <v>1</v>
      </c>
      <c r="D65" s="154" t="s">
        <v>77</v>
      </c>
      <c r="E65" s="162"/>
      <c r="F65" s="181"/>
      <c r="G65" s="181">
        <f t="shared" si="0"/>
        <v>0</v>
      </c>
    </row>
    <row r="66" spans="1:7" x14ac:dyDescent="0.2">
      <c r="A66" s="158">
        <f t="shared" si="1"/>
        <v>37</v>
      </c>
      <c r="B66" s="156" t="s">
        <v>155</v>
      </c>
      <c r="C66" s="151">
        <v>5000</v>
      </c>
      <c r="D66" s="159"/>
      <c r="E66" s="162"/>
      <c r="F66" s="181">
        <v>3200</v>
      </c>
      <c r="G66" s="181">
        <f t="shared" si="0"/>
        <v>16000000</v>
      </c>
    </row>
    <row r="67" spans="1:7" ht="14.25" customHeight="1" x14ac:dyDescent="0.2">
      <c r="A67" s="143"/>
      <c r="B67" s="552" t="s">
        <v>178</v>
      </c>
      <c r="C67" s="553"/>
      <c r="D67" s="553"/>
      <c r="E67" s="553"/>
      <c r="F67" s="553"/>
      <c r="G67" s="554"/>
    </row>
    <row r="68" spans="1:7" x14ac:dyDescent="0.2">
      <c r="A68" s="158">
        <v>1</v>
      </c>
      <c r="B68" s="156" t="s">
        <v>163</v>
      </c>
      <c r="C68" s="160"/>
      <c r="D68" s="159"/>
      <c r="E68" s="162"/>
      <c r="F68" s="181">
        <v>1200000</v>
      </c>
      <c r="G68" s="181">
        <v>1200000</v>
      </c>
    </row>
    <row r="69" spans="1:7" x14ac:dyDescent="0.2">
      <c r="A69" s="158">
        <v>2</v>
      </c>
      <c r="B69" s="156" t="s">
        <v>164</v>
      </c>
      <c r="C69" s="160">
        <v>58500</v>
      </c>
      <c r="D69" s="159" t="s">
        <v>77</v>
      </c>
      <c r="E69" s="162"/>
      <c r="F69" s="181">
        <v>270</v>
      </c>
      <c r="G69" s="181">
        <f t="shared" si="0"/>
        <v>15795000</v>
      </c>
    </row>
    <row r="70" spans="1:7" ht="27.75" customHeight="1" x14ac:dyDescent="0.2">
      <c r="A70" s="158">
        <v>5</v>
      </c>
      <c r="B70" s="156" t="s">
        <v>167</v>
      </c>
      <c r="C70" s="160"/>
      <c r="D70" s="159"/>
      <c r="E70" s="162"/>
      <c r="F70" s="181">
        <v>2500000</v>
      </c>
      <c r="G70" s="181">
        <v>2500000</v>
      </c>
    </row>
    <row r="71" spans="1:7" ht="30" customHeight="1" x14ac:dyDescent="0.2">
      <c r="A71" s="158">
        <v>6</v>
      </c>
      <c r="B71" s="156" t="s">
        <v>168</v>
      </c>
      <c r="C71" s="160">
        <v>29250</v>
      </c>
      <c r="D71" s="159" t="s">
        <v>77</v>
      </c>
      <c r="E71" s="162"/>
      <c r="F71" s="181">
        <v>2800</v>
      </c>
      <c r="G71" s="181">
        <f t="shared" si="0"/>
        <v>81900000</v>
      </c>
    </row>
    <row r="72" spans="1:7" ht="14.25" customHeight="1" x14ac:dyDescent="0.2">
      <c r="A72" s="143"/>
      <c r="B72" s="142" t="s">
        <v>179</v>
      </c>
      <c r="C72" s="144"/>
      <c r="D72" s="142"/>
      <c r="E72" s="145"/>
      <c r="F72" s="180"/>
      <c r="G72" s="180"/>
    </row>
    <row r="73" spans="1:7" x14ac:dyDescent="0.2">
      <c r="A73" s="158" t="s">
        <v>180</v>
      </c>
      <c r="B73" s="156" t="s">
        <v>143</v>
      </c>
      <c r="C73" s="151">
        <v>1</v>
      </c>
      <c r="D73" s="159" t="s">
        <v>106</v>
      </c>
      <c r="E73" s="162" t="s">
        <v>130</v>
      </c>
      <c r="F73" s="181">
        <v>3200000</v>
      </c>
      <c r="G73" s="181">
        <f t="shared" ref="G73:G75" si="2">+F73*C73</f>
        <v>3200000</v>
      </c>
    </row>
    <row r="74" spans="1:7" x14ac:dyDescent="0.2">
      <c r="A74" s="158" t="s">
        <v>181</v>
      </c>
      <c r="B74" s="156" t="s">
        <v>118</v>
      </c>
      <c r="C74" s="151">
        <v>1</v>
      </c>
      <c r="D74" s="159" t="s">
        <v>119</v>
      </c>
      <c r="E74" s="163" t="s">
        <v>109</v>
      </c>
      <c r="F74" s="181">
        <v>23200000</v>
      </c>
      <c r="G74" s="181">
        <f t="shared" si="2"/>
        <v>23200000</v>
      </c>
    </row>
    <row r="75" spans="1:7" ht="42" customHeight="1" x14ac:dyDescent="0.2">
      <c r="A75" s="158" t="s">
        <v>182</v>
      </c>
      <c r="B75" s="156" t="s">
        <v>120</v>
      </c>
      <c r="C75" s="160">
        <v>4000</v>
      </c>
      <c r="D75" s="159" t="s">
        <v>108</v>
      </c>
      <c r="E75" s="164" t="s">
        <v>158</v>
      </c>
      <c r="F75" s="181">
        <v>900</v>
      </c>
      <c r="G75" s="181">
        <f t="shared" si="2"/>
        <v>3600000</v>
      </c>
    </row>
    <row r="76" spans="1:7" ht="25.5" hidden="1" x14ac:dyDescent="0.2">
      <c r="A76" s="143"/>
      <c r="B76" s="165" t="s">
        <v>121</v>
      </c>
      <c r="C76" s="144"/>
      <c r="D76" s="142"/>
      <c r="E76" s="145"/>
      <c r="F76" s="180"/>
      <c r="G76" s="180"/>
    </row>
    <row r="77" spans="1:7" hidden="1" x14ac:dyDescent="0.2">
      <c r="A77" s="158"/>
      <c r="B77" s="156" t="s">
        <v>122</v>
      </c>
      <c r="C77" s="151"/>
      <c r="D77" s="159"/>
      <c r="E77" s="162"/>
      <c r="F77" s="181"/>
      <c r="G77" s="181"/>
    </row>
    <row r="78" spans="1:7" x14ac:dyDescent="0.2">
      <c r="A78" s="143"/>
      <c r="B78" s="165" t="s">
        <v>183</v>
      </c>
      <c r="C78" s="144"/>
      <c r="D78" s="142"/>
      <c r="E78" s="145"/>
      <c r="F78" s="180"/>
      <c r="G78" s="180"/>
    </row>
    <row r="79" spans="1:7" ht="38.25" x14ac:dyDescent="0.2">
      <c r="A79" s="146" t="s">
        <v>184</v>
      </c>
      <c r="B79" s="147" t="s">
        <v>162</v>
      </c>
      <c r="C79" s="148">
        <v>1</v>
      </c>
      <c r="D79" s="166" t="s">
        <v>77</v>
      </c>
      <c r="E79" s="163" t="s">
        <v>169</v>
      </c>
      <c r="F79" s="184">
        <v>100000000</v>
      </c>
      <c r="G79" s="181">
        <v>100000000</v>
      </c>
    </row>
    <row r="80" spans="1:7" x14ac:dyDescent="0.2">
      <c r="A80" s="167"/>
      <c r="B80" s="168" t="s">
        <v>185</v>
      </c>
      <c r="C80" s="169"/>
      <c r="D80" s="168"/>
      <c r="E80" s="170"/>
      <c r="F80" s="180"/>
      <c r="G80" s="180"/>
    </row>
    <row r="81" spans="1:8" ht="169.5" customHeight="1" x14ac:dyDescent="0.2">
      <c r="A81" s="146">
        <v>2.6</v>
      </c>
      <c r="B81" s="156" t="s">
        <v>103</v>
      </c>
      <c r="C81" s="151">
        <v>10</v>
      </c>
      <c r="D81" s="154" t="s">
        <v>105</v>
      </c>
      <c r="E81" s="149" t="s">
        <v>104</v>
      </c>
      <c r="F81" s="184">
        <v>35000000</v>
      </c>
      <c r="G81" s="181">
        <f>C81*F81</f>
        <v>350000000</v>
      </c>
      <c r="H81" s="171"/>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owBreaks count="2" manualBreakCount="2">
    <brk id="42" max="6" man="1"/>
    <brk id="77"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Normal="40" zoomScaleSheetLayoutView="100" zoomScalePageLayoutView="125" workbookViewId="0">
      <pane xSplit="2" ySplit="11" topLeftCell="H24" activePane="bottomRight" state="frozen"/>
      <selection activeCell="B66" sqref="B66"/>
      <selection pane="topRight" activeCell="B66" sqref="B66"/>
      <selection pane="bottomLeft" activeCell="B66" sqref="B66"/>
      <selection pane="bottomRight"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6" style="215" customWidth="1"/>
    <col min="8" max="11" width="14.85546875" style="215" bestFit="1" customWidth="1"/>
    <col min="12" max="12" width="15.85546875" style="318" bestFit="1" customWidth="1"/>
    <col min="13" max="13" width="15.85546875" style="137" bestFit="1" customWidth="1"/>
    <col min="14" max="14" width="15.5703125" style="319" customWidth="1"/>
    <col min="15" max="15" width="13.42578125" style="137" bestFit="1" customWidth="1"/>
    <col min="16" max="16" width="11.5703125" style="137" bestFit="1" customWidth="1"/>
    <col min="17" max="16384" width="10.85546875" style="137"/>
  </cols>
  <sheetData>
    <row r="1" spans="1:15" x14ac:dyDescent="0.2">
      <c r="B1" s="213"/>
    </row>
    <row r="2" spans="1:15" hidden="1" x14ac:dyDescent="0.2">
      <c r="B2" s="213" t="s">
        <v>192</v>
      </c>
    </row>
    <row r="3" spans="1:15" hidden="1" x14ac:dyDescent="0.2">
      <c r="B3" s="213" t="s">
        <v>194</v>
      </c>
    </row>
    <row r="4" spans="1:15" hidden="1" x14ac:dyDescent="0.2">
      <c r="B4" s="214" t="s">
        <v>161</v>
      </c>
    </row>
    <row r="5" spans="1:15" hidden="1" x14ac:dyDescent="0.2">
      <c r="B5" s="213" t="s">
        <v>160</v>
      </c>
    </row>
    <row r="6" spans="1:15" hidden="1" x14ac:dyDescent="0.2">
      <c r="B6" s="213" t="s">
        <v>193</v>
      </c>
    </row>
    <row r="8" spans="1:15" ht="15" customHeight="1" x14ac:dyDescent="0.2">
      <c r="A8" s="543" t="s">
        <v>259</v>
      </c>
      <c r="B8" s="544"/>
      <c r="C8" s="544"/>
      <c r="D8" s="544"/>
      <c r="E8" s="544"/>
      <c r="F8" s="544"/>
      <c r="G8" s="544"/>
      <c r="H8" s="544"/>
      <c r="I8" s="544"/>
      <c r="J8" s="544"/>
      <c r="K8" s="544"/>
      <c r="L8" s="320"/>
      <c r="M8" s="227"/>
      <c r="N8" s="240"/>
      <c r="O8" s="227"/>
    </row>
    <row r="9" spans="1:15" ht="25.5" x14ac:dyDescent="0.2">
      <c r="A9" s="539" t="s">
        <v>62</v>
      </c>
      <c r="B9" s="539"/>
      <c r="C9" s="264" t="s">
        <v>63</v>
      </c>
      <c r="D9" s="264" t="s">
        <v>64</v>
      </c>
      <c r="E9" s="273" t="s">
        <v>101</v>
      </c>
      <c r="F9" s="273" t="s">
        <v>61</v>
      </c>
      <c r="G9" s="274" t="s">
        <v>218</v>
      </c>
      <c r="H9" s="274" t="s">
        <v>232</v>
      </c>
      <c r="I9" s="274" t="s">
        <v>232</v>
      </c>
      <c r="J9" s="274"/>
      <c r="K9" s="321"/>
      <c r="L9" s="320"/>
      <c r="M9" s="227"/>
      <c r="N9" s="240"/>
      <c r="O9" s="227"/>
    </row>
    <row r="10" spans="1:15" x14ac:dyDescent="0.2">
      <c r="A10" s="275"/>
      <c r="B10" s="272" t="s">
        <v>117</v>
      </c>
      <c r="C10" s="264"/>
      <c r="D10" s="264"/>
      <c r="E10" s="273"/>
      <c r="F10" s="273"/>
      <c r="G10" s="274"/>
      <c r="H10" s="274"/>
      <c r="I10" s="274"/>
      <c r="J10" s="274"/>
      <c r="K10" s="321"/>
      <c r="L10" s="320"/>
      <c r="M10" s="227"/>
      <c r="N10" s="240"/>
      <c r="O10" s="227"/>
    </row>
    <row r="11" spans="1:15" ht="40.5" customHeight="1" x14ac:dyDescent="0.2">
      <c r="A11" s="276" t="s">
        <v>129</v>
      </c>
      <c r="B11" s="272" t="s">
        <v>170</v>
      </c>
      <c r="C11" s="272"/>
      <c r="D11" s="272"/>
      <c r="E11" s="273"/>
      <c r="F11" s="273"/>
      <c r="G11" s="277" t="s">
        <v>101</v>
      </c>
      <c r="H11" s="277" t="s">
        <v>101</v>
      </c>
      <c r="I11" s="277" t="s">
        <v>101</v>
      </c>
      <c r="J11" s="278" t="s">
        <v>251</v>
      </c>
      <c r="K11" s="322" t="s">
        <v>225</v>
      </c>
      <c r="L11" s="202" t="s">
        <v>297</v>
      </c>
      <c r="M11" s="199" t="s">
        <v>298</v>
      </c>
      <c r="N11" s="323" t="s">
        <v>299</v>
      </c>
      <c r="O11" s="199" t="s">
        <v>298</v>
      </c>
    </row>
    <row r="12" spans="1:15" x14ac:dyDescent="0.2">
      <c r="A12" s="158">
        <v>1</v>
      </c>
      <c r="B12" s="147" t="s">
        <v>127</v>
      </c>
      <c r="C12" s="254">
        <v>3</v>
      </c>
      <c r="D12" s="148" t="s">
        <v>111</v>
      </c>
      <c r="E12" s="181">
        <v>29700000</v>
      </c>
      <c r="F12" s="181">
        <f t="shared" ref="F12:F20" si="0">+E12*C12</f>
        <v>89100000</v>
      </c>
      <c r="G12" s="217">
        <f>+[4]C01!F12</f>
        <v>29700000</v>
      </c>
      <c r="H12" s="217">
        <f>+[4]CO3!F12</f>
        <v>34800000</v>
      </c>
      <c r="I12" s="217">
        <f>+[4]CO4!F12</f>
        <v>14000000</v>
      </c>
      <c r="J12" s="217">
        <f>+GEOMEAN(G12:I12)</f>
        <v>24368076.139932506</v>
      </c>
      <c r="K12" s="324">
        <f t="shared" ref="K12:K64" si="1">+J12*C12</f>
        <v>73104228.41979751</v>
      </c>
      <c r="L12" s="320"/>
      <c r="M12" s="227"/>
      <c r="N12" s="240"/>
      <c r="O12" s="227"/>
    </row>
    <row r="13" spans="1:15" x14ac:dyDescent="0.2">
      <c r="A13" s="158">
        <v>2</v>
      </c>
      <c r="B13" s="147" t="s">
        <v>128</v>
      </c>
      <c r="C13" s="254">
        <v>4</v>
      </c>
      <c r="D13" s="148" t="s">
        <v>111</v>
      </c>
      <c r="E13" s="181">
        <v>29400000</v>
      </c>
      <c r="F13" s="181">
        <f t="shared" si="0"/>
        <v>117600000</v>
      </c>
      <c r="G13" s="217">
        <f>+[4]C01!F13</f>
        <v>29400000</v>
      </c>
      <c r="H13" s="217">
        <f>+[4]CO3!F13</f>
        <v>31320000</v>
      </c>
      <c r="I13" s="217">
        <f>+[4]CO4!F13</f>
        <v>12600000</v>
      </c>
      <c r="J13" s="217">
        <f>+GEOMEAN(G13:I13)</f>
        <v>22638442.417202462</v>
      </c>
      <c r="K13" s="324">
        <f t="shared" si="1"/>
        <v>90553769.668809846</v>
      </c>
      <c r="L13" s="320"/>
      <c r="M13" s="227"/>
      <c r="N13" s="240"/>
      <c r="O13" s="227"/>
    </row>
    <row r="14" spans="1:15" x14ac:dyDescent="0.2">
      <c r="A14" s="158">
        <v>3</v>
      </c>
      <c r="B14" s="147" t="s">
        <v>186</v>
      </c>
      <c r="C14" s="254">
        <v>5</v>
      </c>
      <c r="D14" s="148" t="s">
        <v>110</v>
      </c>
      <c r="E14" s="181">
        <v>7300000</v>
      </c>
      <c r="F14" s="181">
        <f t="shared" si="0"/>
        <v>36500000</v>
      </c>
      <c r="G14" s="217">
        <f>+[4]C01!F14</f>
        <v>7300000</v>
      </c>
      <c r="H14" s="217">
        <f>+[4]CO3!F14</f>
        <v>7888000</v>
      </c>
      <c r="I14" s="217">
        <f>+[4]CO4!F14</f>
        <v>15400000</v>
      </c>
      <c r="J14" s="217">
        <f>+GEOMEAN(G14:I14)</f>
        <v>9607347.3844851907</v>
      </c>
      <c r="K14" s="324">
        <f t="shared" si="1"/>
        <v>48036736.922425956</v>
      </c>
      <c r="L14" s="320"/>
      <c r="M14" s="227"/>
      <c r="N14" s="240"/>
      <c r="O14" s="227"/>
    </row>
    <row r="15" spans="1:15" x14ac:dyDescent="0.2">
      <c r="A15" s="158">
        <v>4</v>
      </c>
      <c r="B15" s="147" t="s">
        <v>187</v>
      </c>
      <c r="C15" s="254">
        <v>5</v>
      </c>
      <c r="D15" s="148" t="s">
        <v>110</v>
      </c>
      <c r="E15" s="181">
        <v>5400000</v>
      </c>
      <c r="F15" s="181">
        <f t="shared" si="0"/>
        <v>27000000</v>
      </c>
      <c r="G15" s="217">
        <f>+[4]C01!F15</f>
        <v>5400000</v>
      </c>
      <c r="H15" s="217">
        <f>+[4]CO3!F15</f>
        <v>9280000</v>
      </c>
      <c r="I15" s="217">
        <f>+[4]CO4!F15</f>
        <v>18200000</v>
      </c>
      <c r="J15" s="217">
        <f>+GEOMEAN(G15:I15)</f>
        <v>9697751.2766491342</v>
      </c>
      <c r="K15" s="324">
        <f t="shared" si="1"/>
        <v>48488756.383245669</v>
      </c>
      <c r="L15" s="320"/>
      <c r="M15" s="227"/>
      <c r="N15" s="240"/>
      <c r="O15" s="227"/>
    </row>
    <row r="16" spans="1:15" x14ac:dyDescent="0.2">
      <c r="A16" s="158">
        <v>5</v>
      </c>
      <c r="B16" s="147" t="s">
        <v>113</v>
      </c>
      <c r="C16" s="254">
        <v>4</v>
      </c>
      <c r="D16" s="148" t="s">
        <v>114</v>
      </c>
      <c r="E16" s="181">
        <v>21000000</v>
      </c>
      <c r="F16" s="181">
        <f t="shared" si="0"/>
        <v>84000000</v>
      </c>
      <c r="G16" s="217">
        <f>+[4]C01!F16</f>
        <v>21000000</v>
      </c>
      <c r="H16" s="217">
        <f>+[4]CO3!F16</f>
        <v>87000000</v>
      </c>
      <c r="I16" s="217">
        <f>+[4]CO4!F16</f>
        <v>23800000</v>
      </c>
      <c r="J16" s="217">
        <f t="shared" ref="J16:J74" si="2">+GEOMEAN(G16:I16)</f>
        <v>35164558.421514258</v>
      </c>
      <c r="K16" s="324">
        <f t="shared" si="1"/>
        <v>140658233.68605703</v>
      </c>
      <c r="L16" s="320"/>
      <c r="M16" s="227"/>
      <c r="N16" s="240"/>
      <c r="O16" s="227"/>
    </row>
    <row r="17" spans="1:15" x14ac:dyDescent="0.2">
      <c r="A17" s="158">
        <v>6</v>
      </c>
      <c r="B17" s="147" t="s">
        <v>107</v>
      </c>
      <c r="C17" s="255">
        <v>8</v>
      </c>
      <c r="D17" s="148" t="s">
        <v>123</v>
      </c>
      <c r="E17" s="181">
        <v>14500000</v>
      </c>
      <c r="F17" s="181">
        <f t="shared" si="0"/>
        <v>116000000</v>
      </c>
      <c r="G17" s="217">
        <f>+[4]C01!F17</f>
        <v>14500000</v>
      </c>
      <c r="H17" s="217">
        <f>+[4]CO3!F17</f>
        <v>29000000</v>
      </c>
      <c r="I17" s="217">
        <f>+[4]CO4!F17</f>
        <v>26600000</v>
      </c>
      <c r="J17" s="217">
        <f t="shared" si="2"/>
        <v>22363986.027778238</v>
      </c>
      <c r="K17" s="324">
        <f t="shared" si="1"/>
        <v>178911888.2222259</v>
      </c>
      <c r="L17" s="320"/>
      <c r="M17" s="227"/>
      <c r="N17" s="240"/>
      <c r="O17" s="227"/>
    </row>
    <row r="18" spans="1:15" x14ac:dyDescent="0.2">
      <c r="A18" s="158">
        <v>7</v>
      </c>
      <c r="B18" s="147" t="s">
        <v>151</v>
      </c>
      <c r="C18" s="254">
        <v>3</v>
      </c>
      <c r="D18" s="148" t="s">
        <v>252</v>
      </c>
      <c r="E18" s="181">
        <v>15400000</v>
      </c>
      <c r="F18" s="181">
        <f t="shared" si="0"/>
        <v>46200000</v>
      </c>
      <c r="G18" s="217">
        <f>+[4]C01!F18</f>
        <v>15400000</v>
      </c>
      <c r="H18" s="217">
        <f>+[4]CO3!F18</f>
        <v>17400000</v>
      </c>
      <c r="I18" s="217">
        <f>+[4]CO4!F18</f>
        <v>4384800</v>
      </c>
      <c r="J18" s="217">
        <f t="shared" si="2"/>
        <v>10552124.810303425</v>
      </c>
      <c r="K18" s="324">
        <f t="shared" si="1"/>
        <v>31656374.430910274</v>
      </c>
      <c r="L18" s="320"/>
      <c r="M18" s="227"/>
      <c r="N18" s="240"/>
      <c r="O18" s="227"/>
    </row>
    <row r="19" spans="1:15" ht="13.5" thickBot="1" x14ac:dyDescent="0.25">
      <c r="A19" s="158">
        <v>8</v>
      </c>
      <c r="B19" s="147" t="s">
        <v>176</v>
      </c>
      <c r="C19" s="254">
        <v>4</v>
      </c>
      <c r="D19" s="148" t="s">
        <v>252</v>
      </c>
      <c r="E19" s="181">
        <v>21000000</v>
      </c>
      <c r="F19" s="181">
        <f t="shared" si="0"/>
        <v>84000000</v>
      </c>
      <c r="G19" s="217">
        <f>+[4]C01!F19</f>
        <v>21000000</v>
      </c>
      <c r="H19" s="217">
        <f>+[4]CO3!F19</f>
        <v>14160000</v>
      </c>
      <c r="I19" s="217">
        <f>+[4]CO4!F19</f>
        <v>8769600</v>
      </c>
      <c r="J19" s="217">
        <f t="shared" si="2"/>
        <v>13764299.404634317</v>
      </c>
      <c r="K19" s="324">
        <f t="shared" si="1"/>
        <v>55057197.61853727</v>
      </c>
      <c r="L19" s="320"/>
      <c r="M19" s="227"/>
      <c r="N19" s="240"/>
      <c r="O19" s="227"/>
    </row>
    <row r="20" spans="1:15" x14ac:dyDescent="0.2">
      <c r="A20" s="158">
        <v>9</v>
      </c>
      <c r="B20" s="147" t="s">
        <v>144</v>
      </c>
      <c r="C20" s="256">
        <v>8</v>
      </c>
      <c r="D20" s="147" t="s">
        <v>145</v>
      </c>
      <c r="E20" s="183">
        <v>5000000</v>
      </c>
      <c r="F20" s="181">
        <f t="shared" si="0"/>
        <v>40000000</v>
      </c>
      <c r="G20" s="252">
        <f>+[4]C01!F21</f>
        <v>5000000</v>
      </c>
      <c r="H20" s="252">
        <f>+[4]CO3!F21</f>
        <v>348000</v>
      </c>
      <c r="I20" s="252">
        <f>+[4]CO4!F21</f>
        <v>252000</v>
      </c>
      <c r="J20" s="217">
        <f t="shared" si="2"/>
        <v>759713.65020321426</v>
      </c>
      <c r="K20" s="324">
        <f t="shared" si="1"/>
        <v>6077709.2016257141</v>
      </c>
      <c r="L20" s="320"/>
      <c r="M20" s="227"/>
      <c r="N20" s="240"/>
      <c r="O20" s="227"/>
    </row>
    <row r="21" spans="1:15" x14ac:dyDescent="0.2">
      <c r="A21" s="266"/>
      <c r="B21" s="272" t="s">
        <v>256</v>
      </c>
      <c r="C21" s="272"/>
      <c r="D21" s="272"/>
      <c r="E21" s="280"/>
      <c r="F21" s="280"/>
      <c r="G21" s="281">
        <f>+[4]C01!F30</f>
        <v>0</v>
      </c>
      <c r="H21" s="281">
        <f>+[4]CO3!F30</f>
        <v>0</v>
      </c>
      <c r="I21" s="281">
        <f>+[4]CO4!F30</f>
        <v>0</v>
      </c>
      <c r="J21" s="281"/>
      <c r="K21" s="325"/>
      <c r="L21" s="320"/>
      <c r="M21" s="227"/>
      <c r="N21" s="240"/>
      <c r="O21" s="227"/>
    </row>
    <row r="22" spans="1:15" x14ac:dyDescent="0.2">
      <c r="A22" s="158">
        <v>1</v>
      </c>
      <c r="B22" s="156" t="s">
        <v>78</v>
      </c>
      <c r="C22" s="151">
        <v>1</v>
      </c>
      <c r="D22" s="159" t="s">
        <v>77</v>
      </c>
      <c r="E22" s="181">
        <v>650000</v>
      </c>
      <c r="F22" s="181">
        <f t="shared" ref="F22:F47" si="3">+E22*C22</f>
        <v>650000</v>
      </c>
      <c r="G22" s="217">
        <f>+[4]C01!F31</f>
        <v>650000</v>
      </c>
      <c r="H22" s="217">
        <f>+[4]CO3!F31</f>
        <v>796700</v>
      </c>
      <c r="I22" s="217">
        <f>+[4]CO4!F31</f>
        <v>65650</v>
      </c>
      <c r="J22" s="217">
        <f t="shared" si="2"/>
        <v>323952.2256885097</v>
      </c>
      <c r="K22" s="324">
        <f t="shared" si="1"/>
        <v>323952.2256885097</v>
      </c>
      <c r="L22" s="320"/>
      <c r="M22" s="227"/>
      <c r="N22" s="240"/>
      <c r="O22" s="227"/>
    </row>
    <row r="23" spans="1:15" x14ac:dyDescent="0.2">
      <c r="A23" s="158">
        <f t="shared" ref="A23:A57" si="4">+A22+1</f>
        <v>2</v>
      </c>
      <c r="B23" s="156" t="s">
        <v>79</v>
      </c>
      <c r="C23" s="160">
        <v>5000</v>
      </c>
      <c r="D23" s="159" t="s">
        <v>77</v>
      </c>
      <c r="E23" s="181">
        <v>1300</v>
      </c>
      <c r="F23" s="181">
        <f t="shared" si="3"/>
        <v>6500000</v>
      </c>
      <c r="G23" s="217">
        <f>+[4]C01!F32</f>
        <v>1300</v>
      </c>
      <c r="H23" s="217">
        <f>+[4]CO3!F32</f>
        <v>134.6</v>
      </c>
      <c r="I23" s="217">
        <f>+[4]CO4!F32</f>
        <v>137</v>
      </c>
      <c r="J23" s="217">
        <f t="shared" si="2"/>
        <v>288.33873787486948</v>
      </c>
      <c r="K23" s="324">
        <f t="shared" si="1"/>
        <v>1441693.6893743475</v>
      </c>
      <c r="L23" s="320"/>
      <c r="M23" s="227"/>
      <c r="N23" s="240"/>
      <c r="O23" s="227"/>
    </row>
    <row r="24" spans="1:15" x14ac:dyDescent="0.2">
      <c r="A24" s="158">
        <f t="shared" si="4"/>
        <v>3</v>
      </c>
      <c r="B24" s="156" t="s">
        <v>80</v>
      </c>
      <c r="C24" s="151">
        <v>1</v>
      </c>
      <c r="D24" s="159" t="s">
        <v>77</v>
      </c>
      <c r="E24" s="181">
        <v>2100000</v>
      </c>
      <c r="F24" s="181">
        <f t="shared" si="3"/>
        <v>2100000</v>
      </c>
      <c r="G24" s="217">
        <f>+[4]C01!F33</f>
        <v>2100000</v>
      </c>
      <c r="H24" s="217">
        <f>+[4]CO3!F33</f>
        <v>1849483</v>
      </c>
      <c r="I24" s="217">
        <f>+[4]CO4!F33</f>
        <v>814000</v>
      </c>
      <c r="J24" s="217">
        <f t="shared" si="2"/>
        <v>1467679.9041051471</v>
      </c>
      <c r="K24" s="324">
        <f t="shared" si="1"/>
        <v>1467679.9041051471</v>
      </c>
      <c r="L24" s="320"/>
      <c r="M24" s="227"/>
      <c r="N24" s="240"/>
      <c r="O24" s="227"/>
    </row>
    <row r="25" spans="1:15" x14ac:dyDescent="0.2">
      <c r="A25" s="158">
        <f t="shared" si="4"/>
        <v>4</v>
      </c>
      <c r="B25" s="156" t="s">
        <v>81</v>
      </c>
      <c r="C25" s="151">
        <v>2</v>
      </c>
      <c r="D25" s="159" t="s">
        <v>77</v>
      </c>
      <c r="E25" s="181">
        <v>1500000</v>
      </c>
      <c r="F25" s="181">
        <f t="shared" si="3"/>
        <v>3000000</v>
      </c>
      <c r="G25" s="217">
        <f>+[4]C01!F34</f>
        <v>1500000</v>
      </c>
      <c r="H25" s="217">
        <f>+[4]CO3!F34</f>
        <v>1223504</v>
      </c>
      <c r="I25" s="217">
        <f>+[4]CO4!F34</f>
        <v>570500</v>
      </c>
      <c r="J25" s="217">
        <f t="shared" si="2"/>
        <v>1015431.8167168966</v>
      </c>
      <c r="K25" s="324">
        <f t="shared" si="1"/>
        <v>2030863.6334337932</v>
      </c>
      <c r="L25" s="320"/>
      <c r="M25" s="227"/>
      <c r="N25" s="240"/>
      <c r="O25" s="227"/>
    </row>
    <row r="26" spans="1:15" x14ac:dyDescent="0.2">
      <c r="A26" s="158">
        <f t="shared" si="4"/>
        <v>5</v>
      </c>
      <c r="B26" s="156" t="s">
        <v>82</v>
      </c>
      <c r="C26" s="151">
        <v>1</v>
      </c>
      <c r="D26" s="159" t="s">
        <v>77</v>
      </c>
      <c r="E26" s="181">
        <v>1400000</v>
      </c>
      <c r="F26" s="181">
        <f t="shared" si="3"/>
        <v>1400000</v>
      </c>
      <c r="G26" s="217">
        <f>+[4]C01!F35</f>
        <v>1400000</v>
      </c>
      <c r="H26" s="217">
        <f>+[4]CO3!F35</f>
        <v>910514</v>
      </c>
      <c r="I26" s="217">
        <f>+[4]CO4!F35</f>
        <v>360000</v>
      </c>
      <c r="J26" s="217">
        <f t="shared" si="2"/>
        <v>771327.92502350698</v>
      </c>
      <c r="K26" s="324">
        <f t="shared" si="1"/>
        <v>771327.92502350698</v>
      </c>
      <c r="L26" s="320"/>
      <c r="M26" s="227"/>
      <c r="N26" s="240"/>
      <c r="O26" s="227"/>
    </row>
    <row r="27" spans="1:15" x14ac:dyDescent="0.2">
      <c r="A27" s="158">
        <f t="shared" si="4"/>
        <v>6</v>
      </c>
      <c r="B27" s="156" t="s">
        <v>137</v>
      </c>
      <c r="C27" s="151">
        <v>1</v>
      </c>
      <c r="D27" s="159" t="s">
        <v>77</v>
      </c>
      <c r="E27" s="181">
        <v>600000</v>
      </c>
      <c r="F27" s="181">
        <f t="shared" si="3"/>
        <v>600000</v>
      </c>
      <c r="G27" s="217">
        <f>+[4]C01!F36</f>
        <v>600000</v>
      </c>
      <c r="H27" s="217">
        <f>+[4]CO3!F36</f>
        <v>1327835</v>
      </c>
      <c r="I27" s="217">
        <f>+[4]CO4!F36</f>
        <v>328900</v>
      </c>
      <c r="J27" s="217">
        <f t="shared" si="2"/>
        <v>639911.24981904088</v>
      </c>
      <c r="K27" s="324">
        <f t="shared" si="1"/>
        <v>639911.24981904088</v>
      </c>
      <c r="L27" s="320"/>
      <c r="M27" s="227"/>
      <c r="N27" s="240"/>
      <c r="O27" s="227"/>
    </row>
    <row r="28" spans="1:15" x14ac:dyDescent="0.2">
      <c r="A28" s="158">
        <f t="shared" si="4"/>
        <v>7</v>
      </c>
      <c r="B28" s="156" t="s">
        <v>138</v>
      </c>
      <c r="C28" s="160">
        <v>5000</v>
      </c>
      <c r="D28" s="159" t="s">
        <v>77</v>
      </c>
      <c r="E28" s="184">
        <v>310</v>
      </c>
      <c r="F28" s="181">
        <f t="shared" si="3"/>
        <v>1550000</v>
      </c>
      <c r="G28" s="217">
        <f>+[4]C01!F37</f>
        <v>310</v>
      </c>
      <c r="H28" s="217">
        <f>+[4]CO3!F37</f>
        <v>169.36</v>
      </c>
      <c r="I28" s="217">
        <f>+[4]CO4!F37</f>
        <v>218</v>
      </c>
      <c r="J28" s="217">
        <f t="shared" si="2"/>
        <v>225.35974582340063</v>
      </c>
      <c r="K28" s="324">
        <f t="shared" si="1"/>
        <v>1126798.729117003</v>
      </c>
      <c r="L28" s="320"/>
      <c r="M28" s="227"/>
      <c r="N28" s="240"/>
      <c r="O28" s="227"/>
    </row>
    <row r="29" spans="1:15" x14ac:dyDescent="0.2">
      <c r="A29" s="158">
        <f t="shared" si="4"/>
        <v>8</v>
      </c>
      <c r="B29" s="156" t="s">
        <v>139</v>
      </c>
      <c r="C29" s="151">
        <v>1</v>
      </c>
      <c r="D29" s="159" t="s">
        <v>77</v>
      </c>
      <c r="E29" s="181">
        <v>900000</v>
      </c>
      <c r="F29" s="181">
        <f t="shared" si="3"/>
        <v>900000</v>
      </c>
      <c r="G29" s="217">
        <f>+[4]C01!F38</f>
        <v>900000</v>
      </c>
      <c r="H29" s="217">
        <f>+[4]CO3!F38</f>
        <v>1991753</v>
      </c>
      <c r="I29" s="217">
        <f>+[4]CO4!F38</f>
        <v>575900</v>
      </c>
      <c r="J29" s="217">
        <f t="shared" si="2"/>
        <v>1010667.6295046489</v>
      </c>
      <c r="K29" s="324">
        <f t="shared" si="1"/>
        <v>1010667.6295046489</v>
      </c>
      <c r="L29" s="320"/>
      <c r="M29" s="227"/>
      <c r="N29" s="240"/>
      <c r="O29" s="227"/>
    </row>
    <row r="30" spans="1:15" x14ac:dyDescent="0.2">
      <c r="A30" s="158">
        <f t="shared" si="4"/>
        <v>9</v>
      </c>
      <c r="B30" s="156" t="s">
        <v>140</v>
      </c>
      <c r="C30" s="160">
        <v>10000</v>
      </c>
      <c r="D30" s="159" t="s">
        <v>77</v>
      </c>
      <c r="E30" s="184">
        <v>360</v>
      </c>
      <c r="F30" s="181">
        <f t="shared" si="3"/>
        <v>3600000</v>
      </c>
      <c r="G30" s="217">
        <f>+[4]C01!F39</f>
        <v>360</v>
      </c>
      <c r="H30" s="217">
        <f>+[4]CO3!F39</f>
        <v>563.76</v>
      </c>
      <c r="I30" s="217">
        <f>+[4]CO4!F39</f>
        <v>267</v>
      </c>
      <c r="J30" s="217">
        <f t="shared" si="2"/>
        <v>378.41586883138137</v>
      </c>
      <c r="K30" s="324">
        <f t="shared" si="1"/>
        <v>3784158.6883138139</v>
      </c>
      <c r="L30" s="320"/>
      <c r="M30" s="320"/>
      <c r="N30" s="336">
        <v>200</v>
      </c>
      <c r="O30" s="227" t="s">
        <v>300</v>
      </c>
    </row>
    <row r="31" spans="1:15" x14ac:dyDescent="0.2">
      <c r="A31" s="158">
        <f t="shared" si="4"/>
        <v>10</v>
      </c>
      <c r="B31" s="156" t="s">
        <v>141</v>
      </c>
      <c r="C31" s="151">
        <v>1</v>
      </c>
      <c r="D31" s="159" t="s">
        <v>77</v>
      </c>
      <c r="E31" s="181">
        <v>1200000</v>
      </c>
      <c r="F31" s="181">
        <f t="shared" si="3"/>
        <v>1200000</v>
      </c>
      <c r="G31" s="217">
        <f>+[4]C01!F40</f>
        <v>1200000</v>
      </c>
      <c r="H31" s="217">
        <f>+[4]CO3!F40</f>
        <v>2655671</v>
      </c>
      <c r="I31" s="217">
        <f>+[4]CO4!F40</f>
        <v>850000</v>
      </c>
      <c r="J31" s="217">
        <f t="shared" si="2"/>
        <v>1393985.151070673</v>
      </c>
      <c r="K31" s="324">
        <f t="shared" si="1"/>
        <v>1393985.151070673</v>
      </c>
      <c r="L31" s="320"/>
      <c r="M31" s="227"/>
      <c r="N31" s="240"/>
      <c r="O31" s="227"/>
    </row>
    <row r="32" spans="1:15" x14ac:dyDescent="0.2">
      <c r="A32" s="158">
        <f t="shared" si="4"/>
        <v>11</v>
      </c>
      <c r="B32" s="156" t="s">
        <v>142</v>
      </c>
      <c r="C32" s="160">
        <v>5000</v>
      </c>
      <c r="D32" s="159" t="s">
        <v>77</v>
      </c>
      <c r="E32" s="184">
        <v>360</v>
      </c>
      <c r="F32" s="181">
        <f t="shared" si="3"/>
        <v>1800000</v>
      </c>
      <c r="G32" s="217">
        <f>+[4]C01!F41</f>
        <v>360</v>
      </c>
      <c r="H32" s="217">
        <f>+[4]CO3!F41</f>
        <v>350.32</v>
      </c>
      <c r="I32" s="217">
        <f>+[4]CO4!F41</f>
        <v>270</v>
      </c>
      <c r="J32" s="217">
        <f t="shared" si="2"/>
        <v>324.12340977806485</v>
      </c>
      <c r="K32" s="324">
        <f t="shared" si="1"/>
        <v>1620617.0488903243</v>
      </c>
      <c r="L32" s="320"/>
      <c r="M32" s="227"/>
      <c r="N32" s="240"/>
      <c r="O32" s="227"/>
    </row>
    <row r="33" spans="1:15" x14ac:dyDescent="0.2">
      <c r="A33" s="158">
        <f t="shared" si="4"/>
        <v>12</v>
      </c>
      <c r="B33" s="156" t="s">
        <v>133</v>
      </c>
      <c r="C33" s="160">
        <v>12500</v>
      </c>
      <c r="D33" s="159" t="s">
        <v>77</v>
      </c>
      <c r="E33" s="181">
        <v>3500</v>
      </c>
      <c r="F33" s="181">
        <f t="shared" si="3"/>
        <v>43750000</v>
      </c>
      <c r="G33" s="217">
        <f>+[4]C01!F42</f>
        <v>3500</v>
      </c>
      <c r="H33" s="217">
        <f>+[4]CO3!F42</f>
        <v>1102</v>
      </c>
      <c r="I33" s="217">
        <f>+[4]CO4!F42</f>
        <v>1160</v>
      </c>
      <c r="J33" s="217">
        <f t="shared" si="2"/>
        <v>1647.7925792297706</v>
      </c>
      <c r="K33" s="324">
        <f t="shared" si="1"/>
        <v>20597407.240372133</v>
      </c>
      <c r="L33" s="337">
        <v>1895</v>
      </c>
      <c r="M33" s="227" t="s">
        <v>301</v>
      </c>
      <c r="N33" s="240"/>
      <c r="O33" s="227"/>
    </row>
    <row r="34" spans="1:15" ht="13.5" customHeight="1" x14ac:dyDescent="0.2">
      <c r="A34" s="158">
        <f t="shared" si="4"/>
        <v>13</v>
      </c>
      <c r="B34" s="156" t="s">
        <v>188</v>
      </c>
      <c r="C34" s="160">
        <v>100</v>
      </c>
      <c r="D34" s="159" t="s">
        <v>77</v>
      </c>
      <c r="E34" s="181">
        <v>1800</v>
      </c>
      <c r="F34" s="181">
        <f t="shared" si="3"/>
        <v>180000</v>
      </c>
      <c r="G34" s="217">
        <f>+[4]C01!F43</f>
        <v>1800</v>
      </c>
      <c r="H34" s="252">
        <f>+[4]CO3!F43</f>
        <v>643886</v>
      </c>
      <c r="I34" s="217">
        <f>+[4]CO4!F43</f>
        <v>147500</v>
      </c>
      <c r="J34" s="217">
        <f t="shared" si="2"/>
        <v>55499.768199664933</v>
      </c>
      <c r="K34" s="324">
        <f t="shared" si="1"/>
        <v>5549976.8199664932</v>
      </c>
      <c r="L34" s="338">
        <v>3000</v>
      </c>
      <c r="M34" s="227" t="s">
        <v>301</v>
      </c>
      <c r="N34" s="240"/>
      <c r="O34" s="227"/>
    </row>
    <row r="35" spans="1:15" x14ac:dyDescent="0.2">
      <c r="A35" s="158">
        <f t="shared" si="4"/>
        <v>14</v>
      </c>
      <c r="B35" s="156" t="s">
        <v>124</v>
      </c>
      <c r="C35" s="160">
        <v>1</v>
      </c>
      <c r="D35" s="159" t="s">
        <v>77</v>
      </c>
      <c r="E35" s="181">
        <v>800000</v>
      </c>
      <c r="F35" s="181">
        <f t="shared" si="3"/>
        <v>800000</v>
      </c>
      <c r="G35" s="217">
        <f>+[4]C01!F44</f>
        <v>800000</v>
      </c>
      <c r="H35" s="217">
        <f>+[4]CO3!F44</f>
        <v>368000</v>
      </c>
      <c r="I35" s="217">
        <f>+[4]CO4!F44</f>
        <v>226900</v>
      </c>
      <c r="J35" s="217">
        <f t="shared" si="2"/>
        <v>405748.97730010306</v>
      </c>
      <c r="K35" s="324">
        <f t="shared" si="1"/>
        <v>405748.97730010306</v>
      </c>
      <c r="L35" s="320"/>
      <c r="M35" s="227"/>
      <c r="N35" s="240"/>
      <c r="O35" s="227"/>
    </row>
    <row r="36" spans="1:15" x14ac:dyDescent="0.2">
      <c r="A36" s="158">
        <f t="shared" si="4"/>
        <v>15</v>
      </c>
      <c r="B36" s="161" t="s">
        <v>125</v>
      </c>
      <c r="C36" s="160">
        <v>215</v>
      </c>
      <c r="D36" s="159" t="s">
        <v>77</v>
      </c>
      <c r="E36" s="181">
        <v>5400</v>
      </c>
      <c r="F36" s="181">
        <f t="shared" si="3"/>
        <v>1161000</v>
      </c>
      <c r="G36" s="217">
        <f>+[4]C01!F45</f>
        <v>5400</v>
      </c>
      <c r="H36" s="217">
        <f>+[4]CO3!F45</f>
        <v>13200</v>
      </c>
      <c r="I36" s="217">
        <f>+[4]CO4!F45</f>
        <v>12700</v>
      </c>
      <c r="J36" s="217">
        <f t="shared" si="2"/>
        <v>9673.652236994476</v>
      </c>
      <c r="K36" s="324">
        <f t="shared" si="1"/>
        <v>2079835.2309538124</v>
      </c>
      <c r="L36" s="339">
        <v>2900</v>
      </c>
      <c r="M36" s="227" t="s">
        <v>301</v>
      </c>
      <c r="N36" s="240"/>
      <c r="O36" s="227"/>
    </row>
    <row r="37" spans="1:15" x14ac:dyDescent="0.2">
      <c r="A37" s="158">
        <f t="shared" si="4"/>
        <v>16</v>
      </c>
      <c r="B37" s="161" t="s">
        <v>126</v>
      </c>
      <c r="C37" s="151">
        <v>1</v>
      </c>
      <c r="D37" s="159" t="s">
        <v>77</v>
      </c>
      <c r="E37" s="181">
        <v>775000</v>
      </c>
      <c r="F37" s="181">
        <f t="shared" si="3"/>
        <v>775000</v>
      </c>
      <c r="G37" s="217">
        <f>+[4]C01!F46</f>
        <v>775000</v>
      </c>
      <c r="H37" s="217">
        <f>+[4]CO3!F46</f>
        <v>5121648</v>
      </c>
      <c r="I37" s="217">
        <f>+[4]CO4!F46</f>
        <v>415090</v>
      </c>
      <c r="J37" s="217">
        <f t="shared" si="2"/>
        <v>1181094.2814942093</v>
      </c>
      <c r="K37" s="324">
        <f t="shared" si="1"/>
        <v>1181094.2814942093</v>
      </c>
      <c r="L37" s="320"/>
      <c r="M37" s="227"/>
      <c r="N37" s="240"/>
      <c r="O37" s="227"/>
    </row>
    <row r="38" spans="1:15" x14ac:dyDescent="0.2">
      <c r="A38" s="158">
        <f t="shared" si="4"/>
        <v>17</v>
      </c>
      <c r="B38" s="161" t="s">
        <v>134</v>
      </c>
      <c r="C38" s="160">
        <v>498</v>
      </c>
      <c r="D38" s="159" t="s">
        <v>77</v>
      </c>
      <c r="E38" s="181">
        <v>4000</v>
      </c>
      <c r="F38" s="181">
        <f t="shared" si="3"/>
        <v>1992000</v>
      </c>
      <c r="G38" s="217">
        <f>+[4]C01!F47</f>
        <v>4000</v>
      </c>
      <c r="H38" s="217">
        <f>+[4]CO3!F47</f>
        <v>2062.5</v>
      </c>
      <c r="I38" s="217">
        <f>+[4]CO4!F47</f>
        <v>11050</v>
      </c>
      <c r="J38" s="217">
        <f t="shared" si="2"/>
        <v>4500.6171992945319</v>
      </c>
      <c r="K38" s="324">
        <f t="shared" si="1"/>
        <v>2241307.3652486769</v>
      </c>
      <c r="L38" s="320"/>
      <c r="M38" s="227"/>
      <c r="N38" s="240"/>
      <c r="O38" s="227"/>
    </row>
    <row r="39" spans="1:15" x14ac:dyDescent="0.2">
      <c r="A39" s="158">
        <f t="shared" si="4"/>
        <v>18</v>
      </c>
      <c r="B39" s="156" t="s">
        <v>83</v>
      </c>
      <c r="C39" s="151">
        <v>5</v>
      </c>
      <c r="D39" s="159" t="s">
        <v>77</v>
      </c>
      <c r="E39" s="181">
        <v>650000</v>
      </c>
      <c r="F39" s="181">
        <f t="shared" si="3"/>
        <v>3250000</v>
      </c>
      <c r="G39" s="217">
        <f>+[4]C01!F48</f>
        <v>650000</v>
      </c>
      <c r="H39" s="217">
        <f>+[4]CO3!F48</f>
        <v>466639</v>
      </c>
      <c r="I39" s="217">
        <f>+[4]CO4!F48</f>
        <v>355000</v>
      </c>
      <c r="J39" s="217">
        <f t="shared" si="2"/>
        <v>475745.01627523173</v>
      </c>
      <c r="K39" s="324">
        <f t="shared" si="1"/>
        <v>2378725.0813761586</v>
      </c>
      <c r="L39" s="320"/>
      <c r="M39" s="227"/>
      <c r="N39" s="240"/>
      <c r="O39" s="227"/>
    </row>
    <row r="40" spans="1:15" x14ac:dyDescent="0.2">
      <c r="A40" s="158">
        <f t="shared" si="4"/>
        <v>19</v>
      </c>
      <c r="B40" s="156" t="s">
        <v>135</v>
      </c>
      <c r="C40" s="148">
        <v>5</v>
      </c>
      <c r="D40" s="159" t="s">
        <v>77</v>
      </c>
      <c r="E40" s="181">
        <v>290000</v>
      </c>
      <c r="F40" s="181">
        <f t="shared" si="3"/>
        <v>1450000</v>
      </c>
      <c r="G40" s="217">
        <f>+[4]C01!F49</f>
        <v>290000</v>
      </c>
      <c r="H40" s="217">
        <f>+[4]CO3!F49</f>
        <v>191400</v>
      </c>
      <c r="I40" s="217">
        <f>+[4]CO4!F49</f>
        <v>252000</v>
      </c>
      <c r="J40" s="217">
        <f t="shared" si="2"/>
        <v>240942.54353626477</v>
      </c>
      <c r="K40" s="324">
        <f t="shared" si="1"/>
        <v>1204712.7176813239</v>
      </c>
      <c r="L40" s="320"/>
      <c r="M40" s="227"/>
      <c r="N40" s="240">
        <v>100000</v>
      </c>
      <c r="O40" s="227" t="s">
        <v>300</v>
      </c>
    </row>
    <row r="41" spans="1:15" x14ac:dyDescent="0.2">
      <c r="A41" s="158">
        <f t="shared" si="4"/>
        <v>20</v>
      </c>
      <c r="B41" s="156" t="s">
        <v>84</v>
      </c>
      <c r="C41" s="151">
        <v>1</v>
      </c>
      <c r="D41" s="159" t="s">
        <v>77</v>
      </c>
      <c r="E41" s="181">
        <v>650000</v>
      </c>
      <c r="F41" s="181">
        <f t="shared" si="3"/>
        <v>650000</v>
      </c>
      <c r="G41" s="217">
        <f>+[4]C01!F50</f>
        <v>650000</v>
      </c>
      <c r="H41" s="217">
        <f>+[4]CO3!F50</f>
        <v>466639</v>
      </c>
      <c r="I41" s="217">
        <f>+[4]CO4!F50</f>
        <v>161995</v>
      </c>
      <c r="J41" s="217">
        <f t="shared" si="2"/>
        <v>366267.73815117305</v>
      </c>
      <c r="K41" s="324">
        <f t="shared" si="1"/>
        <v>366267.73815117305</v>
      </c>
      <c r="L41" s="320"/>
      <c r="M41" s="227"/>
      <c r="N41" s="240"/>
      <c r="O41" s="227"/>
    </row>
    <row r="42" spans="1:15" x14ac:dyDescent="0.2">
      <c r="A42" s="158">
        <f t="shared" si="4"/>
        <v>21</v>
      </c>
      <c r="B42" s="156" t="s">
        <v>85</v>
      </c>
      <c r="C42" s="151">
        <v>1</v>
      </c>
      <c r="D42" s="159" t="s">
        <v>77</v>
      </c>
      <c r="E42" s="181">
        <v>390000</v>
      </c>
      <c r="F42" s="181">
        <f t="shared" si="3"/>
        <v>390000</v>
      </c>
      <c r="G42" s="217">
        <f>+[4]C01!F51</f>
        <v>390000</v>
      </c>
      <c r="H42" s="217">
        <f>+[4]CO3!F51</f>
        <v>425000</v>
      </c>
      <c r="I42" s="217">
        <f>+[4]CO4!F51</f>
        <v>973000</v>
      </c>
      <c r="J42" s="217">
        <f t="shared" si="2"/>
        <v>544321.46288221865</v>
      </c>
      <c r="K42" s="324">
        <f t="shared" si="1"/>
        <v>544321.46288221865</v>
      </c>
      <c r="L42" s="320"/>
      <c r="M42" s="227"/>
      <c r="N42" s="240">
        <v>150000</v>
      </c>
      <c r="O42" s="227" t="s">
        <v>300</v>
      </c>
    </row>
    <row r="43" spans="1:15" x14ac:dyDescent="0.2">
      <c r="A43" s="158">
        <f t="shared" si="4"/>
        <v>22</v>
      </c>
      <c r="B43" s="156" t="s">
        <v>86</v>
      </c>
      <c r="C43" s="151">
        <v>2</v>
      </c>
      <c r="D43" s="159" t="s">
        <v>77</v>
      </c>
      <c r="E43" s="181">
        <v>730000</v>
      </c>
      <c r="F43" s="181">
        <f t="shared" si="3"/>
        <v>1460000</v>
      </c>
      <c r="G43" s="217">
        <f>+[4]C01!F52</f>
        <v>730000</v>
      </c>
      <c r="H43" s="217">
        <f>+[4]CO3!F52</f>
        <v>466639</v>
      </c>
      <c r="I43" s="217">
        <f>+[4]CO4!F52</f>
        <v>511980</v>
      </c>
      <c r="J43" s="217">
        <f t="shared" si="2"/>
        <v>558708.9515607201</v>
      </c>
      <c r="K43" s="324">
        <f t="shared" si="1"/>
        <v>1117417.9031214402</v>
      </c>
      <c r="L43" s="320"/>
      <c r="M43" s="227"/>
      <c r="N43" s="240"/>
      <c r="O43" s="227"/>
    </row>
    <row r="44" spans="1:15" x14ac:dyDescent="0.2">
      <c r="A44" s="158">
        <f t="shared" si="4"/>
        <v>23</v>
      </c>
      <c r="B44" s="156" t="s">
        <v>87</v>
      </c>
      <c r="C44" s="151">
        <v>1</v>
      </c>
      <c r="D44" s="159" t="s">
        <v>77</v>
      </c>
      <c r="E44" s="181">
        <v>280000</v>
      </c>
      <c r="F44" s="181">
        <f t="shared" si="3"/>
        <v>280000</v>
      </c>
      <c r="G44" s="217">
        <f>+[4]C01!F53</f>
        <v>280000</v>
      </c>
      <c r="H44" s="217">
        <f>+[4]CO3!F53</f>
        <v>87000</v>
      </c>
      <c r="I44" s="217">
        <f>+[4]CO4!F53</f>
        <v>1540000</v>
      </c>
      <c r="J44" s="217">
        <f t="shared" si="2"/>
        <v>334759.31326706492</v>
      </c>
      <c r="K44" s="324">
        <f t="shared" si="1"/>
        <v>334759.31326706492</v>
      </c>
      <c r="L44" s="326">
        <v>301600</v>
      </c>
      <c r="M44" s="227" t="s">
        <v>301</v>
      </c>
      <c r="N44" s="240">
        <v>250000</v>
      </c>
      <c r="O44" s="227" t="s">
        <v>300</v>
      </c>
    </row>
    <row r="45" spans="1:15" x14ac:dyDescent="0.2">
      <c r="A45" s="158">
        <f t="shared" si="4"/>
        <v>24</v>
      </c>
      <c r="B45" s="156" t="s">
        <v>88</v>
      </c>
      <c r="C45" s="151">
        <v>1</v>
      </c>
      <c r="D45" s="159" t="s">
        <v>77</v>
      </c>
      <c r="E45" s="181">
        <v>730000</v>
      </c>
      <c r="F45" s="181">
        <f t="shared" si="3"/>
        <v>730000</v>
      </c>
      <c r="G45" s="217">
        <f>+[4]C01!F54</f>
        <v>730000</v>
      </c>
      <c r="H45" s="217">
        <f>+[4]CO3!F54</f>
        <v>466639</v>
      </c>
      <c r="I45" s="217">
        <f>+[4]CO4!F54</f>
        <v>511980</v>
      </c>
      <c r="J45" s="217">
        <f t="shared" si="2"/>
        <v>558708.9515607201</v>
      </c>
      <c r="K45" s="324">
        <f t="shared" si="1"/>
        <v>558708.9515607201</v>
      </c>
      <c r="L45" s="320"/>
      <c r="M45" s="227"/>
      <c r="N45" s="240"/>
      <c r="O45" s="227"/>
    </row>
    <row r="46" spans="1:15" x14ac:dyDescent="0.2">
      <c r="A46" s="158">
        <f t="shared" si="4"/>
        <v>25</v>
      </c>
      <c r="B46" s="156" t="s">
        <v>89</v>
      </c>
      <c r="C46" s="151">
        <v>2</v>
      </c>
      <c r="D46" s="159" t="s">
        <v>77</v>
      </c>
      <c r="E46" s="181">
        <v>540000</v>
      </c>
      <c r="F46" s="181">
        <f t="shared" si="3"/>
        <v>1080000</v>
      </c>
      <c r="G46" s="217">
        <f>+[4]C01!F55</f>
        <v>540000</v>
      </c>
      <c r="H46" s="217">
        <f>+[4]CO3!F55</f>
        <v>174000</v>
      </c>
      <c r="I46" s="217">
        <f>+[4]CO4!F55</f>
        <v>1750000</v>
      </c>
      <c r="J46" s="217">
        <f t="shared" si="2"/>
        <v>547848.34278112929</v>
      </c>
      <c r="K46" s="324">
        <f t="shared" si="1"/>
        <v>1095696.6855622586</v>
      </c>
      <c r="L46" s="320"/>
      <c r="M46" s="227"/>
      <c r="N46" s="240">
        <v>400000</v>
      </c>
      <c r="O46" s="227" t="s">
        <v>300</v>
      </c>
    </row>
    <row r="47" spans="1:15" x14ac:dyDescent="0.2">
      <c r="A47" s="158">
        <f>+A46+1</f>
        <v>26</v>
      </c>
      <c r="B47" s="156" t="s">
        <v>90</v>
      </c>
      <c r="C47" s="151">
        <v>1</v>
      </c>
      <c r="D47" s="159" t="s">
        <v>77</v>
      </c>
      <c r="E47" s="181">
        <v>790000</v>
      </c>
      <c r="F47" s="181">
        <f t="shared" si="3"/>
        <v>790000</v>
      </c>
      <c r="G47" s="217">
        <f>+[4]C01!F56</f>
        <v>790000</v>
      </c>
      <c r="H47" s="217">
        <f>+[4]CO3!F56</f>
        <v>1079340</v>
      </c>
      <c r="I47" s="217">
        <f>+[4]CO4!F56</f>
        <v>675780</v>
      </c>
      <c r="J47" s="217">
        <f t="shared" si="2"/>
        <v>832140.95953078009</v>
      </c>
      <c r="K47" s="324">
        <f t="shared" si="1"/>
        <v>832140.95953078009</v>
      </c>
      <c r="L47" s="320"/>
      <c r="M47" s="227"/>
      <c r="N47" s="240"/>
      <c r="O47" s="227"/>
    </row>
    <row r="48" spans="1:15" x14ac:dyDescent="0.2">
      <c r="A48" s="158">
        <f t="shared" si="4"/>
        <v>27</v>
      </c>
      <c r="B48" s="156" t="s">
        <v>91</v>
      </c>
      <c r="C48" s="151">
        <v>1</v>
      </c>
      <c r="D48" s="159" t="s">
        <v>77</v>
      </c>
      <c r="E48" s="181" t="s">
        <v>190</v>
      </c>
      <c r="F48" s="181" t="s">
        <v>190</v>
      </c>
      <c r="G48" s="217" t="str">
        <f>+[4]C01!F57</f>
        <v>N/A</v>
      </c>
      <c r="H48" s="217">
        <f>+[4]CO3!F57</f>
        <v>261000</v>
      </c>
      <c r="I48" s="217">
        <f>+[4]CO4!F57</f>
        <v>2380000</v>
      </c>
      <c r="J48" s="217">
        <f t="shared" si="2"/>
        <v>788149.7319672195</v>
      </c>
      <c r="K48" s="324">
        <f t="shared" si="1"/>
        <v>788149.7319672195</v>
      </c>
      <c r="L48" s="320"/>
      <c r="M48" s="227"/>
      <c r="N48" s="240">
        <v>450000</v>
      </c>
      <c r="O48" s="227" t="s">
        <v>300</v>
      </c>
    </row>
    <row r="49" spans="1:15" x14ac:dyDescent="0.2">
      <c r="A49" s="158">
        <f t="shared" si="4"/>
        <v>28</v>
      </c>
      <c r="B49" s="156" t="s">
        <v>92</v>
      </c>
      <c r="C49" s="151">
        <v>1</v>
      </c>
      <c r="D49" s="159" t="s">
        <v>77</v>
      </c>
      <c r="E49" s="181">
        <v>920000</v>
      </c>
      <c r="F49" s="181">
        <f>+E49*C49</f>
        <v>920000</v>
      </c>
      <c r="G49" s="217">
        <f>+[4]C01!F58</f>
        <v>920000</v>
      </c>
      <c r="H49" s="217">
        <f>+[4]CO3!F58</f>
        <v>1079340</v>
      </c>
      <c r="I49" s="217">
        <f>+[4]CO4!F58</f>
        <v>675780</v>
      </c>
      <c r="J49" s="217">
        <f t="shared" si="2"/>
        <v>875488.56498114252</v>
      </c>
      <c r="K49" s="324">
        <f t="shared" si="1"/>
        <v>875488.56498114252</v>
      </c>
      <c r="L49" s="320"/>
      <c r="M49" s="227"/>
      <c r="N49" s="240"/>
      <c r="O49" s="227"/>
    </row>
    <row r="50" spans="1:15" x14ac:dyDescent="0.2">
      <c r="A50" s="158">
        <f t="shared" si="4"/>
        <v>29</v>
      </c>
      <c r="B50" s="156" t="s">
        <v>93</v>
      </c>
      <c r="C50" s="151">
        <v>1</v>
      </c>
      <c r="D50" s="159" t="s">
        <v>77</v>
      </c>
      <c r="E50" s="181" t="s">
        <v>190</v>
      </c>
      <c r="F50" s="181" t="s">
        <v>190</v>
      </c>
      <c r="G50" s="217" t="str">
        <f>+[4]C01!F59</f>
        <v>N/A</v>
      </c>
      <c r="H50" s="217">
        <f>+[4]CO3!F59</f>
        <v>174000</v>
      </c>
      <c r="I50" s="217">
        <f>+[4]CO4!F59</f>
        <v>4480000</v>
      </c>
      <c r="J50" s="217">
        <f t="shared" si="2"/>
        <v>882904.29832456924</v>
      </c>
      <c r="K50" s="324">
        <f t="shared" si="1"/>
        <v>882904.29832456924</v>
      </c>
      <c r="L50" s="320"/>
      <c r="M50" s="227"/>
      <c r="N50" s="240"/>
      <c r="O50" s="227"/>
    </row>
    <row r="51" spans="1:15" x14ac:dyDescent="0.2">
      <c r="A51" s="158">
        <f t="shared" si="4"/>
        <v>30</v>
      </c>
      <c r="B51" s="156" t="s">
        <v>94</v>
      </c>
      <c r="C51" s="151">
        <v>2</v>
      </c>
      <c r="D51" s="159" t="s">
        <v>77</v>
      </c>
      <c r="E51" s="181">
        <v>920000</v>
      </c>
      <c r="F51" s="181">
        <f>+E51*C51</f>
        <v>1840000</v>
      </c>
      <c r="G51" s="217">
        <f>+[4]C01!F60</f>
        <v>920000</v>
      </c>
      <c r="H51" s="217">
        <f>+[4]CO3!F60</f>
        <v>1079340</v>
      </c>
      <c r="I51" s="217">
        <f>+[4]CO4!F60</f>
        <v>675780</v>
      </c>
      <c r="J51" s="217">
        <f t="shared" si="2"/>
        <v>875488.56498114252</v>
      </c>
      <c r="K51" s="324">
        <f t="shared" si="1"/>
        <v>1750977.129962285</v>
      </c>
      <c r="L51" s="320"/>
      <c r="M51" s="227"/>
      <c r="N51" s="240"/>
      <c r="O51" s="227"/>
    </row>
    <row r="52" spans="1:15" x14ac:dyDescent="0.2">
      <c r="A52" s="158">
        <f t="shared" si="4"/>
        <v>31</v>
      </c>
      <c r="B52" s="156" t="s">
        <v>95</v>
      </c>
      <c r="C52" s="151">
        <v>2</v>
      </c>
      <c r="D52" s="159" t="s">
        <v>77</v>
      </c>
      <c r="E52" s="181" t="s">
        <v>190</v>
      </c>
      <c r="F52" s="181" t="s">
        <v>190</v>
      </c>
      <c r="G52" s="217" t="str">
        <f>+[4]C01!F61</f>
        <v>N/A</v>
      </c>
      <c r="H52" s="217">
        <f>+[4]CO3!F61</f>
        <v>522000</v>
      </c>
      <c r="I52" s="217">
        <f>+[4]CO4!F61</f>
        <v>4760000</v>
      </c>
      <c r="J52" s="217">
        <f t="shared" si="2"/>
        <v>1576299.463934439</v>
      </c>
      <c r="K52" s="324">
        <f t="shared" si="1"/>
        <v>3152598.927868878</v>
      </c>
      <c r="L52" s="320"/>
      <c r="M52" s="227"/>
      <c r="N52" s="240"/>
      <c r="O52" s="227"/>
    </row>
    <row r="53" spans="1:15" hidden="1" x14ac:dyDescent="0.2">
      <c r="A53" s="158">
        <f t="shared" si="4"/>
        <v>32</v>
      </c>
      <c r="B53" s="156" t="s">
        <v>96</v>
      </c>
      <c r="C53" s="151">
        <v>1</v>
      </c>
      <c r="D53" s="159" t="s">
        <v>77</v>
      </c>
      <c r="E53" s="181"/>
      <c r="F53" s="181">
        <f t="shared" ref="F53:F58" si="5">+E53*C53</f>
        <v>0</v>
      </c>
      <c r="G53" s="217">
        <f>+[4]C01!F62</f>
        <v>0</v>
      </c>
      <c r="H53" s="217">
        <f>+[4]CO3!F62</f>
        <v>0</v>
      </c>
      <c r="I53" s="217">
        <f>+[4]CO4!F62</f>
        <v>0</v>
      </c>
      <c r="J53" s="217"/>
      <c r="K53" s="324">
        <f t="shared" si="1"/>
        <v>0</v>
      </c>
      <c r="L53" s="320"/>
      <c r="M53" s="227"/>
      <c r="N53" s="240"/>
      <c r="O53" s="227"/>
    </row>
    <row r="54" spans="1:15" hidden="1" x14ac:dyDescent="0.2">
      <c r="A54" s="158">
        <f t="shared" si="4"/>
        <v>33</v>
      </c>
      <c r="B54" s="156" t="s">
        <v>97</v>
      </c>
      <c r="C54" s="151">
        <v>1</v>
      </c>
      <c r="D54" s="159" t="s">
        <v>77</v>
      </c>
      <c r="E54" s="181"/>
      <c r="F54" s="181">
        <f t="shared" si="5"/>
        <v>0</v>
      </c>
      <c r="G54" s="217">
        <f>+[4]C01!F63</f>
        <v>0</v>
      </c>
      <c r="H54" s="217">
        <f>+[4]CO3!F63</f>
        <v>0</v>
      </c>
      <c r="I54" s="217">
        <f>+[4]CO4!F63</f>
        <v>0</v>
      </c>
      <c r="J54" s="217"/>
      <c r="K54" s="324">
        <f t="shared" si="1"/>
        <v>0</v>
      </c>
      <c r="L54" s="320"/>
      <c r="M54" s="227"/>
      <c r="N54" s="240"/>
      <c r="O54" s="227"/>
    </row>
    <row r="55" spans="1:15" hidden="1" x14ac:dyDescent="0.2">
      <c r="A55" s="158">
        <f t="shared" si="4"/>
        <v>34</v>
      </c>
      <c r="B55" s="156" t="s">
        <v>98</v>
      </c>
      <c r="C55" s="151">
        <v>1</v>
      </c>
      <c r="D55" s="159" t="s">
        <v>77</v>
      </c>
      <c r="E55" s="181"/>
      <c r="F55" s="181">
        <f t="shared" si="5"/>
        <v>0</v>
      </c>
      <c r="G55" s="217">
        <f>+[4]C01!F64</f>
        <v>0</v>
      </c>
      <c r="H55" s="217">
        <f>+[4]CO3!F64</f>
        <v>0</v>
      </c>
      <c r="I55" s="217">
        <f>+[4]CO4!F64</f>
        <v>0</v>
      </c>
      <c r="J55" s="217"/>
      <c r="K55" s="324">
        <f t="shared" si="1"/>
        <v>0</v>
      </c>
      <c r="L55" s="320"/>
      <c r="M55" s="227"/>
      <c r="N55" s="240"/>
      <c r="O55" s="227"/>
    </row>
    <row r="56" spans="1:15" hidden="1" x14ac:dyDescent="0.2">
      <c r="A56" s="158">
        <f t="shared" si="4"/>
        <v>35</v>
      </c>
      <c r="B56" s="156" t="s">
        <v>99</v>
      </c>
      <c r="C56" s="151">
        <v>1</v>
      </c>
      <c r="D56" s="159" t="s">
        <v>77</v>
      </c>
      <c r="E56" s="181"/>
      <c r="F56" s="181">
        <f t="shared" si="5"/>
        <v>0</v>
      </c>
      <c r="G56" s="217">
        <f>+[4]C01!F65</f>
        <v>0</v>
      </c>
      <c r="H56" s="217">
        <f>+[4]CO3!F65</f>
        <v>0</v>
      </c>
      <c r="I56" s="217">
        <f>+[4]CO4!F65</f>
        <v>0</v>
      </c>
      <c r="J56" s="217"/>
      <c r="K56" s="324">
        <f t="shared" si="1"/>
        <v>0</v>
      </c>
      <c r="L56" s="320"/>
      <c r="M56" s="227"/>
      <c r="N56" s="240"/>
      <c r="O56" s="227"/>
    </row>
    <row r="57" spans="1:15" hidden="1" x14ac:dyDescent="0.2">
      <c r="A57" s="158">
        <f t="shared" si="4"/>
        <v>36</v>
      </c>
      <c r="B57" s="156" t="s">
        <v>100</v>
      </c>
      <c r="C57" s="151">
        <v>1</v>
      </c>
      <c r="D57" s="159" t="s">
        <v>77</v>
      </c>
      <c r="E57" s="181"/>
      <c r="F57" s="181">
        <f t="shared" si="5"/>
        <v>0</v>
      </c>
      <c r="G57" s="217">
        <f>+[4]C01!F66</f>
        <v>0</v>
      </c>
      <c r="H57" s="217">
        <f>+[4]CO3!F66</f>
        <v>0</v>
      </c>
      <c r="I57" s="217">
        <f>+[4]CO4!F66</f>
        <v>0</v>
      </c>
      <c r="J57" s="217"/>
      <c r="K57" s="324">
        <f t="shared" si="1"/>
        <v>0</v>
      </c>
      <c r="L57" s="320"/>
      <c r="M57" s="227"/>
      <c r="N57" s="240"/>
      <c r="O57" s="227"/>
    </row>
    <row r="58" spans="1:15" x14ac:dyDescent="0.2">
      <c r="A58" s="158">
        <v>32</v>
      </c>
      <c r="B58" s="156" t="s">
        <v>155</v>
      </c>
      <c r="C58" s="151">
        <v>12500</v>
      </c>
      <c r="D58" s="159" t="s">
        <v>77</v>
      </c>
      <c r="E58" s="181">
        <v>3200</v>
      </c>
      <c r="F58" s="181">
        <f t="shared" si="5"/>
        <v>40000000</v>
      </c>
      <c r="G58" s="217">
        <f>+[4]C01!F67</f>
        <v>3200</v>
      </c>
      <c r="H58" s="217">
        <f>+[4]CO3!F67</f>
        <v>4060</v>
      </c>
      <c r="I58" s="217">
        <f>+[4]CO4!F67</f>
        <v>4900</v>
      </c>
      <c r="J58" s="217">
        <f t="shared" si="2"/>
        <v>3992.9208119987447</v>
      </c>
      <c r="K58" s="324">
        <f t="shared" si="1"/>
        <v>49911510.149984308</v>
      </c>
      <c r="L58" s="327"/>
      <c r="M58" s="227"/>
      <c r="N58" s="240"/>
      <c r="O58" s="227"/>
    </row>
    <row r="59" spans="1:15" x14ac:dyDescent="0.2">
      <c r="A59" s="271"/>
      <c r="B59" s="540" t="s">
        <v>257</v>
      </c>
      <c r="C59" s="541"/>
      <c r="D59" s="541"/>
      <c r="E59" s="541"/>
      <c r="F59" s="542"/>
      <c r="G59" s="279">
        <f>+[4]C01!F68</f>
        <v>0</v>
      </c>
      <c r="H59" s="279">
        <f>+[4]CO3!F68</f>
        <v>0</v>
      </c>
      <c r="I59" s="279">
        <f>+[4]CO4!F68</f>
        <v>0</v>
      </c>
      <c r="J59" s="279"/>
      <c r="K59" s="328"/>
      <c r="L59" s="320"/>
      <c r="M59" s="227"/>
      <c r="N59" s="240"/>
      <c r="O59" s="227"/>
    </row>
    <row r="60" spans="1:15" x14ac:dyDescent="0.2">
      <c r="A60" s="158">
        <v>1</v>
      </c>
      <c r="B60" s="156" t="s">
        <v>163</v>
      </c>
      <c r="C60" s="160">
        <v>1</v>
      </c>
      <c r="D60" s="159" t="s">
        <v>77</v>
      </c>
      <c r="E60" s="181">
        <v>1200000</v>
      </c>
      <c r="F60" s="181">
        <v>1200000</v>
      </c>
      <c r="G60" s="252">
        <f>+[4]C01!F69</f>
        <v>1200000</v>
      </c>
      <c r="H60" s="217">
        <f>+[4]CO3!F69</f>
        <v>663917</v>
      </c>
      <c r="I60" s="217">
        <f>+[4]CO4!F69</f>
        <v>476050</v>
      </c>
      <c r="J60" s="217">
        <f t="shared" si="2"/>
        <v>723851.03809114045</v>
      </c>
      <c r="K60" s="329">
        <f t="shared" si="1"/>
        <v>723851.03809114045</v>
      </c>
      <c r="L60" s="330">
        <v>151</v>
      </c>
      <c r="M60" s="227" t="s">
        <v>301</v>
      </c>
      <c r="N60" s="240"/>
      <c r="O60" s="227"/>
    </row>
    <row r="61" spans="1:15" x14ac:dyDescent="0.2">
      <c r="A61" s="158">
        <v>2</v>
      </c>
      <c r="B61" s="156" t="s">
        <v>164</v>
      </c>
      <c r="C61" s="160">
        <v>12500</v>
      </c>
      <c r="D61" s="159" t="s">
        <v>77</v>
      </c>
      <c r="E61" s="181">
        <v>270</v>
      </c>
      <c r="F61" s="181">
        <f>+E61*C61</f>
        <v>3375000</v>
      </c>
      <c r="G61" s="217">
        <f>+[4]C01!F70</f>
        <v>270</v>
      </c>
      <c r="H61" s="217">
        <f>+[4]CO3!F70</f>
        <v>223.88</v>
      </c>
      <c r="I61" s="217">
        <f>+[4]CO4!F70</f>
        <v>605</v>
      </c>
      <c r="J61" s="217">
        <f t="shared" si="2"/>
        <v>331.92870559890866</v>
      </c>
      <c r="K61" s="329">
        <f t="shared" si="1"/>
        <v>4149108.8199863583</v>
      </c>
      <c r="L61" s="330">
        <v>209</v>
      </c>
      <c r="M61" s="227" t="s">
        <v>301</v>
      </c>
      <c r="N61" s="240"/>
      <c r="O61" s="227"/>
    </row>
    <row r="62" spans="1:15" ht="25.5" x14ac:dyDescent="0.2">
      <c r="A62" s="158">
        <v>3</v>
      </c>
      <c r="B62" s="156" t="s">
        <v>167</v>
      </c>
      <c r="C62" s="160">
        <v>1</v>
      </c>
      <c r="D62" s="159" t="s">
        <v>77</v>
      </c>
      <c r="E62" s="181">
        <v>2500000</v>
      </c>
      <c r="F62" s="181">
        <v>2500000</v>
      </c>
      <c r="G62" s="252">
        <f>+[4]C01!F73</f>
        <v>2500000</v>
      </c>
      <c r="H62" s="217">
        <f>+[4]CO3!F73</f>
        <v>360413</v>
      </c>
      <c r="I62" s="217">
        <f>+[4]CO4!F73</f>
        <v>760725</v>
      </c>
      <c r="J62" s="217">
        <f t="shared" si="2"/>
        <v>881703.80502081057</v>
      </c>
      <c r="K62" s="329">
        <f t="shared" si="1"/>
        <v>881703.80502081057</v>
      </c>
      <c r="L62" s="330"/>
      <c r="M62" s="227"/>
      <c r="N62" s="240"/>
      <c r="O62" s="227"/>
    </row>
    <row r="63" spans="1:15" ht="25.5" x14ac:dyDescent="0.2">
      <c r="A63" s="158">
        <v>4</v>
      </c>
      <c r="B63" s="156" t="s">
        <v>168</v>
      </c>
      <c r="C63" s="160">
        <v>12500</v>
      </c>
      <c r="D63" s="159" t="s">
        <v>77</v>
      </c>
      <c r="E63" s="181">
        <v>2800</v>
      </c>
      <c r="F63" s="181">
        <f>+E63*C63</f>
        <v>35000000</v>
      </c>
      <c r="G63" s="217">
        <f>+[4]C01!F74</f>
        <v>2800</v>
      </c>
      <c r="H63" s="217">
        <f>+[4]CO3!F74</f>
        <v>266.8</v>
      </c>
      <c r="I63" s="217">
        <f>+[4]CO4!F74</f>
        <v>372</v>
      </c>
      <c r="J63" s="217">
        <f t="shared" si="2"/>
        <v>652.57274625288619</v>
      </c>
      <c r="K63" s="329">
        <f t="shared" si="1"/>
        <v>8157159.3281610776</v>
      </c>
      <c r="L63" s="330"/>
      <c r="M63" s="227"/>
      <c r="N63" s="240"/>
      <c r="O63" s="227"/>
    </row>
    <row r="64" spans="1:15" ht="12.75" hidden="1" customHeight="1" x14ac:dyDescent="0.2">
      <c r="A64" s="158">
        <v>7</v>
      </c>
      <c r="B64" s="156" t="s">
        <v>149</v>
      </c>
      <c r="C64" s="160"/>
      <c r="D64" s="159" t="s">
        <v>77</v>
      </c>
      <c r="E64" s="181">
        <v>25000</v>
      </c>
      <c r="F64" s="181">
        <f>+E64*C64</f>
        <v>0</v>
      </c>
      <c r="G64" s="217">
        <f>+[4]C01!F75</f>
        <v>25000</v>
      </c>
      <c r="H64" s="217">
        <f>+[4]CO3!F75</f>
        <v>19662</v>
      </c>
      <c r="I64" s="217">
        <f>+[4]CO4!F75</f>
        <v>31850</v>
      </c>
      <c r="J64" s="217">
        <f>+GEOMEAN(G64:I64)-10000</f>
        <v>15016.45183777314</v>
      </c>
      <c r="K64" s="329">
        <f t="shared" si="1"/>
        <v>0</v>
      </c>
      <c r="L64" s="330"/>
      <c r="M64" s="227"/>
      <c r="N64" s="240"/>
      <c r="O64" s="227"/>
    </row>
    <row r="65" spans="1:16" x14ac:dyDescent="0.2">
      <c r="A65" s="271"/>
      <c r="B65" s="272" t="s">
        <v>258</v>
      </c>
      <c r="C65" s="272"/>
      <c r="D65" s="272"/>
      <c r="E65" s="273"/>
      <c r="F65" s="273"/>
      <c r="G65" s="281">
        <f>+[4]C01!F78</f>
        <v>0</v>
      </c>
      <c r="H65" s="281">
        <f>+[4]CO3!F78</f>
        <v>0</v>
      </c>
      <c r="I65" s="281">
        <f>+[4]CO4!F78</f>
        <v>0</v>
      </c>
      <c r="J65" s="281"/>
      <c r="K65" s="325"/>
      <c r="L65" s="320"/>
      <c r="M65" s="227"/>
      <c r="N65" s="240"/>
      <c r="O65" s="227"/>
    </row>
    <row r="66" spans="1:16" x14ac:dyDescent="0.2">
      <c r="A66" s="158">
        <v>1</v>
      </c>
      <c r="B66" s="156" t="s">
        <v>253</v>
      </c>
      <c r="C66" s="151">
        <v>1</v>
      </c>
      <c r="D66" s="159" t="s">
        <v>106</v>
      </c>
      <c r="E66" s="181">
        <v>3200000</v>
      </c>
      <c r="F66" s="181">
        <f>+E66*C66</f>
        <v>3200000</v>
      </c>
      <c r="G66" s="217">
        <f>+[4]C01!F79</f>
        <v>3200000</v>
      </c>
      <c r="H66" s="252">
        <f>+[4]CO3!F79</f>
        <v>35000000</v>
      </c>
      <c r="I66" s="217">
        <f>+[4]CO4!F79</f>
        <v>21890000</v>
      </c>
      <c r="J66" s="217">
        <f t="shared" si="2"/>
        <v>13484078.165690986</v>
      </c>
      <c r="K66" s="324">
        <f t="shared" ref="K66:K74" si="6">+J66*C66</f>
        <v>13484078.165690986</v>
      </c>
      <c r="L66" s="320"/>
      <c r="M66" s="227"/>
      <c r="N66" s="240"/>
      <c r="O66" s="227"/>
    </row>
    <row r="67" spans="1:16" x14ac:dyDescent="0.2">
      <c r="A67" s="158">
        <v>2</v>
      </c>
      <c r="B67" s="156" t="s">
        <v>118</v>
      </c>
      <c r="C67" s="151">
        <v>1</v>
      </c>
      <c r="D67" s="159" t="s">
        <v>119</v>
      </c>
      <c r="E67" s="181">
        <v>15600000</v>
      </c>
      <c r="F67" s="181">
        <f>+E67*C67</f>
        <v>15600000</v>
      </c>
      <c r="G67" s="217">
        <f>+[4]C01!F80</f>
        <v>15600000</v>
      </c>
      <c r="H67" s="252">
        <f>+[4]CO3!F80</f>
        <v>235000000</v>
      </c>
      <c r="I67" s="217">
        <f>+[4]CO4!F80</f>
        <v>49000000</v>
      </c>
      <c r="J67" s="217">
        <f t="shared" si="2"/>
        <v>56423866.967272855</v>
      </c>
      <c r="K67" s="324">
        <f>+J67*C67</f>
        <v>56423866.967272855</v>
      </c>
      <c r="L67" s="320"/>
      <c r="M67" s="227"/>
      <c r="N67" s="240"/>
      <c r="O67" s="227"/>
    </row>
    <row r="68" spans="1:16" x14ac:dyDescent="0.2">
      <c r="A68" s="158">
        <v>3</v>
      </c>
      <c r="B68" s="156" t="s">
        <v>120</v>
      </c>
      <c r="C68" s="160">
        <v>4000</v>
      </c>
      <c r="D68" s="159" t="s">
        <v>108</v>
      </c>
      <c r="E68" s="181">
        <v>900</v>
      </c>
      <c r="F68" s="181">
        <f>+E68*C68</f>
        <v>3600000</v>
      </c>
      <c r="G68" s="217">
        <f>+[4]C01!F81</f>
        <v>900</v>
      </c>
      <c r="H68" s="217">
        <f>+[4]CO3!F81</f>
        <v>500</v>
      </c>
      <c r="I68" s="217">
        <f>+[4]CO4!F81</f>
        <v>3000</v>
      </c>
      <c r="J68" s="217">
        <f t="shared" si="2"/>
        <v>1105.209449592116</v>
      </c>
      <c r="K68" s="324">
        <f t="shared" si="6"/>
        <v>4420837.7983684642</v>
      </c>
      <c r="L68" s="320"/>
      <c r="M68" s="227"/>
      <c r="N68" s="240"/>
      <c r="O68" s="227"/>
    </row>
    <row r="69" spans="1:16" ht="25.5" hidden="1" x14ac:dyDescent="0.2">
      <c r="A69" s="143"/>
      <c r="B69" s="165" t="s">
        <v>121</v>
      </c>
      <c r="C69" s="144"/>
      <c r="D69" s="142"/>
      <c r="E69" s="180"/>
      <c r="F69" s="180"/>
      <c r="G69" s="217">
        <f>+[4]C01!F82</f>
        <v>0</v>
      </c>
      <c r="H69" s="217">
        <f>+[4]CO3!F82</f>
        <v>0</v>
      </c>
      <c r="I69" s="217">
        <f>+[4]CO4!F82</f>
        <v>0</v>
      </c>
      <c r="J69" s="217"/>
      <c r="K69" s="324">
        <f t="shared" si="6"/>
        <v>0</v>
      </c>
      <c r="L69" s="320"/>
      <c r="M69" s="227"/>
      <c r="N69" s="240"/>
      <c r="O69" s="227"/>
    </row>
    <row r="70" spans="1:16" hidden="1" x14ac:dyDescent="0.2">
      <c r="A70" s="158"/>
      <c r="B70" s="156" t="s">
        <v>122</v>
      </c>
      <c r="C70" s="151"/>
      <c r="D70" s="159"/>
      <c r="E70" s="181"/>
      <c r="F70" s="181"/>
      <c r="G70" s="217">
        <f>+[4]C01!F83</f>
        <v>0</v>
      </c>
      <c r="H70" s="217">
        <f>+[4]CO3!F83</f>
        <v>0</v>
      </c>
      <c r="I70" s="217">
        <f>+[4]CO4!F83</f>
        <v>0</v>
      </c>
      <c r="J70" s="217"/>
      <c r="K70" s="324">
        <f t="shared" si="6"/>
        <v>0</v>
      </c>
      <c r="L70" s="320"/>
      <c r="M70" s="227"/>
      <c r="N70" s="240"/>
      <c r="O70" s="227"/>
    </row>
    <row r="71" spans="1:16" x14ac:dyDescent="0.2">
      <c r="A71" s="266"/>
      <c r="B71" s="272" t="s">
        <v>254</v>
      </c>
      <c r="C71" s="267"/>
      <c r="D71" s="265"/>
      <c r="E71" s="268"/>
      <c r="F71" s="268"/>
      <c r="G71" s="279">
        <f>+[4]C01!F84</f>
        <v>0</v>
      </c>
      <c r="H71" s="279">
        <f>+[4]CO3!F84</f>
        <v>0</v>
      </c>
      <c r="I71" s="279">
        <f>+[4]CO4!F84</f>
        <v>0</v>
      </c>
      <c r="J71" s="279"/>
      <c r="K71" s="328">
        <f t="shared" si="6"/>
        <v>0</v>
      </c>
      <c r="L71" s="320"/>
      <c r="M71" s="227"/>
      <c r="N71" s="240"/>
      <c r="O71" s="227"/>
    </row>
    <row r="72" spans="1:16" x14ac:dyDescent="0.2">
      <c r="A72" s="146">
        <v>1</v>
      </c>
      <c r="B72" s="147" t="s">
        <v>162</v>
      </c>
      <c r="C72" s="148">
        <v>1</v>
      </c>
      <c r="D72" s="166" t="s">
        <v>77</v>
      </c>
      <c r="E72" s="184">
        <v>100000000</v>
      </c>
      <c r="F72" s="181">
        <v>100000000</v>
      </c>
      <c r="G72" s="217">
        <f>+[4]C01!F85</f>
        <v>100000000</v>
      </c>
      <c r="H72" s="217">
        <f>+[4]CO3!F85</f>
        <v>96000000</v>
      </c>
      <c r="I72" s="217">
        <f>+[4]CO4!F85</f>
        <v>95500000</v>
      </c>
      <c r="J72" s="217">
        <f t="shared" si="2"/>
        <v>97145987.705999643</v>
      </c>
      <c r="K72" s="324">
        <f t="shared" si="6"/>
        <v>97145987.705999643</v>
      </c>
      <c r="L72" s="320"/>
      <c r="M72" s="227"/>
      <c r="N72" s="240"/>
      <c r="O72" s="227"/>
    </row>
    <row r="73" spans="1:16" x14ac:dyDescent="0.2">
      <c r="A73" s="275"/>
      <c r="B73" s="283" t="s">
        <v>255</v>
      </c>
      <c r="C73" s="283"/>
      <c r="D73" s="283"/>
      <c r="E73" s="273"/>
      <c r="F73" s="273"/>
      <c r="G73" s="281">
        <f>+[4]C01!F86</f>
        <v>0</v>
      </c>
      <c r="H73" s="281">
        <f>+[4]CO3!F86</f>
        <v>0</v>
      </c>
      <c r="I73" s="281">
        <f>+[4]CO4!F86</f>
        <v>0</v>
      </c>
      <c r="J73" s="281"/>
      <c r="K73" s="325">
        <f t="shared" si="6"/>
        <v>0</v>
      </c>
      <c r="L73" s="320"/>
      <c r="M73" s="227"/>
      <c r="N73" s="240"/>
      <c r="O73" s="227"/>
    </row>
    <row r="74" spans="1:16" ht="15" x14ac:dyDescent="0.25">
      <c r="A74" s="146">
        <v>1</v>
      </c>
      <c r="B74" s="156" t="s">
        <v>103</v>
      </c>
      <c r="C74" s="151">
        <v>10</v>
      </c>
      <c r="D74" s="154" t="s">
        <v>105</v>
      </c>
      <c r="E74" s="184">
        <v>35000000</v>
      </c>
      <c r="F74" s="181">
        <f>C74*E74</f>
        <v>350000000</v>
      </c>
      <c r="G74" s="252">
        <f>+[4]C01!F87</f>
        <v>35000000</v>
      </c>
      <c r="H74" s="217">
        <f>+[4]CO3!F87</f>
        <v>11210000</v>
      </c>
      <c r="I74" s="217">
        <f>+[4]CO4!F87</f>
        <v>8690000</v>
      </c>
      <c r="J74" s="217">
        <f t="shared" si="2"/>
        <v>15050969.573632065</v>
      </c>
      <c r="K74" s="324">
        <f t="shared" si="6"/>
        <v>150509695.73632064</v>
      </c>
      <c r="L74" s="331">
        <v>3227700</v>
      </c>
      <c r="M74" s="332" t="s">
        <v>302</v>
      </c>
      <c r="N74" s="240"/>
      <c r="O74" s="227"/>
    </row>
    <row r="75" spans="1:16" x14ac:dyDescent="0.2">
      <c r="A75" s="284"/>
      <c r="B75" s="283" t="s">
        <v>245</v>
      </c>
      <c r="C75" s="285"/>
      <c r="D75" s="264"/>
      <c r="E75" s="286"/>
      <c r="F75" s="286"/>
      <c r="G75" s="281">
        <f>+SUM(G12:G74)</f>
        <v>323064200</v>
      </c>
      <c r="H75" s="281">
        <f>+SUM(H12:H74)</f>
        <v>633300595.22000003</v>
      </c>
      <c r="I75" s="281">
        <f>+SUM(I12:I74)</f>
        <v>324447439</v>
      </c>
      <c r="J75" s="281">
        <f>+SUM(J12:J74)</f>
        <v>350387967.00439548</v>
      </c>
      <c r="K75" s="325">
        <f>+SUM(K12:K74)</f>
        <v>1121902589.3244455</v>
      </c>
      <c r="L75" s="320"/>
      <c r="M75" s="209"/>
      <c r="N75" s="240"/>
      <c r="O75" s="227"/>
      <c r="P75" s="137">
        <f>+K82-O75</f>
        <v>0</v>
      </c>
    </row>
    <row r="76" spans="1:16" hidden="1" x14ac:dyDescent="0.2">
      <c r="A76" s="270"/>
      <c r="B76" s="287" t="s">
        <v>244</v>
      </c>
      <c r="C76" s="282"/>
      <c r="D76" s="287"/>
      <c r="E76" s="268"/>
      <c r="F76" s="268"/>
      <c r="G76" s="279">
        <f>+[4]C01!F88</f>
        <v>0</v>
      </c>
      <c r="H76" s="279">
        <f>+[4]CO3!F88</f>
        <v>0</v>
      </c>
      <c r="I76" s="279">
        <f>+[4]CO4!F88</f>
        <v>0</v>
      </c>
      <c r="J76" s="279">
        <f t="shared" ref="J76" si="7">+AVERAGE(G76:I76)</f>
        <v>0</v>
      </c>
      <c r="K76" s="328">
        <f t="shared" ref="K76" si="8">+J76*C76</f>
        <v>0</v>
      </c>
      <c r="L76" s="320"/>
      <c r="M76" s="227"/>
      <c r="N76" s="240"/>
      <c r="O76" s="227"/>
    </row>
    <row r="77" spans="1:16" hidden="1" x14ac:dyDescent="0.2">
      <c r="A77" s="288"/>
      <c r="B77" s="282" t="s">
        <v>246</v>
      </c>
      <c r="C77" s="289">
        <v>10</v>
      </c>
      <c r="D77" s="269" t="s">
        <v>105</v>
      </c>
      <c r="E77" s="290"/>
      <c r="F77" s="290"/>
      <c r="G77" s="291">
        <f>+(M83*0.1)</f>
        <v>0</v>
      </c>
      <c r="H77" s="279">
        <v>58046740</v>
      </c>
      <c r="I77" s="279">
        <f>5000000*1.16</f>
        <v>5800000</v>
      </c>
      <c r="J77" s="279"/>
      <c r="K77" s="328">
        <f>+K82*0.07</f>
        <v>0</v>
      </c>
      <c r="L77" s="320"/>
      <c r="M77" s="227"/>
      <c r="N77" s="240"/>
      <c r="O77" s="227"/>
    </row>
    <row r="78" spans="1:16" x14ac:dyDescent="0.2">
      <c r="A78" s="284"/>
      <c r="B78" s="283" t="s">
        <v>248</v>
      </c>
      <c r="C78" s="285"/>
      <c r="D78" s="264"/>
      <c r="E78" s="286"/>
      <c r="F78" s="286"/>
      <c r="G78" s="292"/>
      <c r="H78" s="281"/>
      <c r="I78" s="281"/>
      <c r="J78" s="281"/>
      <c r="K78" s="325">
        <f>+K75/1.16</f>
        <v>967157404.59003925</v>
      </c>
      <c r="L78" s="320"/>
      <c r="M78" s="227"/>
      <c r="N78" s="240"/>
      <c r="O78" s="227"/>
    </row>
    <row r="79" spans="1:16" x14ac:dyDescent="0.2">
      <c r="A79" s="288"/>
      <c r="B79" s="282" t="s">
        <v>247</v>
      </c>
      <c r="C79" s="289"/>
      <c r="D79" s="269"/>
      <c r="E79" s="290"/>
      <c r="F79" s="290"/>
      <c r="G79" s="279"/>
      <c r="H79" s="279"/>
      <c r="I79" s="279"/>
      <c r="J79" s="279"/>
      <c r="K79" s="328">
        <f>+K78*0.07</f>
        <v>67701018.321302757</v>
      </c>
      <c r="L79" s="320"/>
      <c r="M79" s="209"/>
      <c r="N79" s="240"/>
      <c r="O79" s="227"/>
    </row>
    <row r="80" spans="1:16" x14ac:dyDescent="0.2">
      <c r="A80" s="288"/>
      <c r="B80" s="282" t="s">
        <v>249</v>
      </c>
      <c r="C80" s="289"/>
      <c r="D80" s="269"/>
      <c r="E80" s="290"/>
      <c r="F80" s="290"/>
      <c r="G80" s="279"/>
      <c r="H80" s="279"/>
      <c r="I80" s="279"/>
      <c r="J80" s="279"/>
      <c r="K80" s="328">
        <f>+K79+K78</f>
        <v>1034858422.911342</v>
      </c>
      <c r="L80" s="320"/>
      <c r="M80" s="209"/>
      <c r="N80" s="240"/>
      <c r="O80" s="227"/>
    </row>
    <row r="81" spans="1:15" x14ac:dyDescent="0.2">
      <c r="A81" s="258"/>
      <c r="B81" s="259" t="s">
        <v>250</v>
      </c>
      <c r="C81" s="260"/>
      <c r="D81" s="139"/>
      <c r="E81" s="261"/>
      <c r="F81" s="261"/>
      <c r="G81" s="262"/>
      <c r="H81" s="262"/>
      <c r="I81" s="262"/>
      <c r="J81" s="262"/>
      <c r="K81" s="333">
        <f>+K80*1.16</f>
        <v>1200435770.5771568</v>
      </c>
      <c r="L81" s="320"/>
      <c r="M81" s="209"/>
      <c r="N81" s="240"/>
      <c r="O81" s="227"/>
    </row>
    <row r="82" spans="1:15" x14ac:dyDescent="0.2">
      <c r="L82" s="334"/>
      <c r="M82" s="188"/>
      <c r="N82" s="335"/>
    </row>
    <row r="83" spans="1:15" x14ac:dyDescent="0.2">
      <c r="M83" s="188"/>
    </row>
    <row r="84" spans="1:15" x14ac:dyDescent="0.2">
      <c r="K84" s="263"/>
    </row>
  </sheetData>
  <mergeCells count="3">
    <mergeCell ref="A8:K8"/>
    <mergeCell ref="A9:B9"/>
    <mergeCell ref="B59:F59"/>
  </mergeCells>
  <pageMargins left="0.25" right="0.25" top="0.75" bottom="0.75" header="0.3" footer="0.3"/>
  <pageSetup scale="68" fitToHeight="0" orientation="landscape" r:id="rId1"/>
  <rowBreaks count="1" manualBreakCount="1">
    <brk id="63"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0"/>
  <sheetViews>
    <sheetView topLeftCell="A209" zoomScale="130" zoomScaleNormal="130" zoomScaleSheetLayoutView="90" workbookViewId="0">
      <selection activeCell="B66" sqref="B66"/>
    </sheetView>
  </sheetViews>
  <sheetFormatPr baseColWidth="10" defaultColWidth="11.5703125" defaultRowHeight="12.75" x14ac:dyDescent="0.25"/>
  <cols>
    <col min="1" max="1" width="11.5703125" style="340"/>
    <col min="2" max="2" width="12.7109375" style="389" customWidth="1"/>
    <col min="3" max="3" width="7.42578125" style="390" bestFit="1" customWidth="1"/>
    <col min="4" max="4" width="16.42578125" style="390" bestFit="1" customWidth="1"/>
    <col min="5" max="5" width="38.85546875" style="389" customWidth="1"/>
    <col min="6" max="6" width="17.28515625" style="391" customWidth="1"/>
    <col min="7" max="16384" width="11.5703125" style="340"/>
  </cols>
  <sheetData>
    <row r="1" spans="2:6" ht="15" customHeight="1" x14ac:dyDescent="0.25">
      <c r="B1" s="587" t="s">
        <v>306</v>
      </c>
      <c r="C1" s="587"/>
      <c r="D1" s="587"/>
      <c r="E1" s="587"/>
      <c r="F1" s="587"/>
    </row>
    <row r="2" spans="2:6" x14ac:dyDescent="0.25">
      <c r="B2" s="587"/>
      <c r="C2" s="587"/>
      <c r="D2" s="587"/>
      <c r="E2" s="587"/>
      <c r="F2" s="587"/>
    </row>
    <row r="3" spans="2:6" ht="16.5" customHeight="1" x14ac:dyDescent="0.25">
      <c r="B3" s="587"/>
      <c r="C3" s="587"/>
      <c r="D3" s="587"/>
      <c r="E3" s="587"/>
      <c r="F3" s="587"/>
    </row>
    <row r="5" spans="2:6" ht="18" x14ac:dyDescent="0.25">
      <c r="B5" s="576" t="s">
        <v>307</v>
      </c>
      <c r="C5" s="576"/>
      <c r="D5" s="576"/>
      <c r="E5" s="576"/>
      <c r="F5" s="576"/>
    </row>
    <row r="6" spans="2:6" ht="13.5" thickBot="1" x14ac:dyDescent="0.3">
      <c r="B6" s="341"/>
      <c r="C6" s="341"/>
      <c r="D6" s="341"/>
      <c r="E6" s="341"/>
      <c r="F6" s="342"/>
    </row>
    <row r="7" spans="2:6" s="343" customFormat="1" x14ac:dyDescent="0.25">
      <c r="B7" s="571" t="s">
        <v>308</v>
      </c>
      <c r="C7" s="572"/>
      <c r="D7" s="572"/>
      <c r="E7" s="572"/>
      <c r="F7" s="572"/>
    </row>
    <row r="8" spans="2:6" s="343" customFormat="1" ht="25.5" x14ac:dyDescent="0.25">
      <c r="B8" s="344" t="s">
        <v>62</v>
      </c>
      <c r="C8" s="345" t="s">
        <v>63</v>
      </c>
      <c r="D8" s="345" t="s">
        <v>64</v>
      </c>
      <c r="E8" s="346" t="s">
        <v>65</v>
      </c>
      <c r="F8" s="347" t="s">
        <v>309</v>
      </c>
    </row>
    <row r="9" spans="2:6" ht="17.25" customHeight="1" x14ac:dyDescent="0.25">
      <c r="B9" s="348" t="s">
        <v>310</v>
      </c>
      <c r="C9" s="349">
        <v>1</v>
      </c>
      <c r="D9" s="349" t="s">
        <v>311</v>
      </c>
      <c r="E9" s="350" t="s">
        <v>312</v>
      </c>
      <c r="F9" s="351">
        <v>862068.96551724139</v>
      </c>
    </row>
    <row r="10" spans="2:6" x14ac:dyDescent="0.25">
      <c r="B10" s="348" t="s">
        <v>313</v>
      </c>
      <c r="C10" s="349">
        <v>1</v>
      </c>
      <c r="D10" s="349" t="s">
        <v>314</v>
      </c>
      <c r="E10" s="350" t="s">
        <v>315</v>
      </c>
      <c r="F10" s="351">
        <v>258620.68965517243</v>
      </c>
    </row>
    <row r="11" spans="2:6" x14ac:dyDescent="0.25">
      <c r="B11" s="348" t="s">
        <v>316</v>
      </c>
      <c r="C11" s="349">
        <v>1</v>
      </c>
      <c r="D11" s="349" t="s">
        <v>314</v>
      </c>
      <c r="E11" s="350" t="s">
        <v>317</v>
      </c>
      <c r="F11" s="351">
        <v>98000</v>
      </c>
    </row>
    <row r="12" spans="2:6" ht="13.5" thickBot="1" x14ac:dyDescent="0.3">
      <c r="B12" s="352" t="s">
        <v>318</v>
      </c>
      <c r="C12" s="353">
        <v>1</v>
      </c>
      <c r="D12" s="353" t="s">
        <v>314</v>
      </c>
      <c r="E12" s="354" t="s">
        <v>319</v>
      </c>
      <c r="F12" s="355">
        <v>337500</v>
      </c>
    </row>
    <row r="13" spans="2:6" ht="16.5" customHeight="1" thickBot="1" x14ac:dyDescent="0.3">
      <c r="B13" s="566" t="s">
        <v>320</v>
      </c>
      <c r="C13" s="567"/>
      <c r="D13" s="567"/>
      <c r="E13" s="567"/>
      <c r="F13" s="356">
        <f>SUM(F9:F12)</f>
        <v>1556189.6551724139</v>
      </c>
    </row>
    <row r="14" spans="2:6" ht="13.5" thickBot="1" x14ac:dyDescent="0.3">
      <c r="B14" s="357"/>
      <c r="C14" s="358"/>
      <c r="D14" s="358"/>
      <c r="E14" s="357"/>
      <c r="F14" s="359"/>
    </row>
    <row r="15" spans="2:6" x14ac:dyDescent="0.25">
      <c r="B15" s="588" t="s">
        <v>321</v>
      </c>
      <c r="C15" s="572"/>
      <c r="D15" s="572"/>
      <c r="E15" s="572"/>
      <c r="F15" s="572"/>
    </row>
    <row r="16" spans="2:6" ht="25.5" x14ac:dyDescent="0.25">
      <c r="B16" s="360" t="s">
        <v>62</v>
      </c>
      <c r="C16" s="361" t="s">
        <v>63</v>
      </c>
      <c r="D16" s="345" t="s">
        <v>64</v>
      </c>
      <c r="E16" s="346" t="s">
        <v>65</v>
      </c>
      <c r="F16" s="347" t="s">
        <v>309</v>
      </c>
    </row>
    <row r="17" spans="2:6" x14ac:dyDescent="0.25">
      <c r="B17" s="578" t="s">
        <v>322</v>
      </c>
      <c r="C17" s="349">
        <v>1</v>
      </c>
      <c r="D17" s="349" t="s">
        <v>323</v>
      </c>
      <c r="E17" s="350" t="s">
        <v>324</v>
      </c>
      <c r="F17" s="362">
        <v>127583.62068965519</v>
      </c>
    </row>
    <row r="18" spans="2:6" x14ac:dyDescent="0.25">
      <c r="B18" s="579"/>
      <c r="C18" s="349">
        <v>1</v>
      </c>
      <c r="D18" s="349" t="s">
        <v>323</v>
      </c>
      <c r="E18" s="350" t="s">
        <v>325</v>
      </c>
      <c r="F18" s="362">
        <v>162928.44827586209</v>
      </c>
    </row>
    <row r="19" spans="2:6" x14ac:dyDescent="0.25">
      <c r="B19" s="579"/>
      <c r="C19" s="349">
        <v>1</v>
      </c>
      <c r="D19" s="349" t="s">
        <v>323</v>
      </c>
      <c r="E19" s="350" t="s">
        <v>326</v>
      </c>
      <c r="F19" s="362">
        <v>198368.96551724139</v>
      </c>
    </row>
    <row r="20" spans="2:6" x14ac:dyDescent="0.25">
      <c r="B20" s="579"/>
      <c r="C20" s="349">
        <v>1</v>
      </c>
      <c r="D20" s="349" t="s">
        <v>323</v>
      </c>
      <c r="E20" s="350" t="s">
        <v>327</v>
      </c>
      <c r="F20" s="362">
        <v>274135.3448275862</v>
      </c>
    </row>
    <row r="21" spans="2:6" x14ac:dyDescent="0.25">
      <c r="B21" s="579"/>
      <c r="C21" s="349">
        <v>1</v>
      </c>
      <c r="D21" s="349" t="s">
        <v>323</v>
      </c>
      <c r="E21" s="350" t="s">
        <v>328</v>
      </c>
      <c r="F21" s="362">
        <v>433802</v>
      </c>
    </row>
    <row r="22" spans="2:6" x14ac:dyDescent="0.25">
      <c r="B22" s="580"/>
      <c r="C22" s="349">
        <v>1</v>
      </c>
      <c r="D22" s="349" t="s">
        <v>323</v>
      </c>
      <c r="E22" s="350" t="s">
        <v>329</v>
      </c>
      <c r="F22" s="362">
        <v>1200000</v>
      </c>
    </row>
    <row r="23" spans="2:6" ht="76.5" x14ac:dyDescent="0.25">
      <c r="B23" s="579" t="s">
        <v>330</v>
      </c>
      <c r="C23" s="363">
        <v>1</v>
      </c>
      <c r="D23" s="349" t="s">
        <v>323</v>
      </c>
      <c r="E23" s="350" t="s">
        <v>331</v>
      </c>
      <c r="F23" s="362">
        <v>5966468.9655172415</v>
      </c>
    </row>
    <row r="24" spans="2:6" ht="76.5" x14ac:dyDescent="0.25">
      <c r="B24" s="579"/>
      <c r="C24" s="363">
        <v>1</v>
      </c>
      <c r="D24" s="349" t="s">
        <v>323</v>
      </c>
      <c r="E24" s="350" t="s">
        <v>66</v>
      </c>
      <c r="F24" s="362">
        <v>7465303.4482758623</v>
      </c>
    </row>
    <row r="25" spans="2:6" ht="63.75" x14ac:dyDescent="0.25">
      <c r="B25" s="579"/>
      <c r="C25" s="363">
        <v>1</v>
      </c>
      <c r="D25" s="349" t="s">
        <v>323</v>
      </c>
      <c r="E25" s="350" t="s">
        <v>332</v>
      </c>
      <c r="F25" s="362">
        <v>11197955.172413792</v>
      </c>
    </row>
    <row r="26" spans="2:6" ht="178.5" x14ac:dyDescent="0.25">
      <c r="B26" s="579"/>
      <c r="C26" s="363">
        <v>1</v>
      </c>
      <c r="D26" s="349" t="s">
        <v>323</v>
      </c>
      <c r="E26" s="350" t="s">
        <v>333</v>
      </c>
      <c r="F26" s="362">
        <v>19036523.793103445</v>
      </c>
    </row>
    <row r="27" spans="2:6" ht="76.5" x14ac:dyDescent="0.25">
      <c r="B27" s="579"/>
      <c r="C27" s="363">
        <v>1</v>
      </c>
      <c r="D27" s="349" t="s">
        <v>323</v>
      </c>
      <c r="E27" s="350" t="s">
        <v>334</v>
      </c>
      <c r="F27" s="362">
        <v>25388498.823529411</v>
      </c>
    </row>
    <row r="28" spans="2:6" x14ac:dyDescent="0.25">
      <c r="B28" s="579"/>
      <c r="C28" s="363">
        <v>1</v>
      </c>
      <c r="D28" s="349" t="s">
        <v>323</v>
      </c>
      <c r="E28" s="350" t="s">
        <v>335</v>
      </c>
      <c r="F28" s="362">
        <v>1733333.3333333333</v>
      </c>
    </row>
    <row r="29" spans="2:6" x14ac:dyDescent="0.25">
      <c r="B29" s="580"/>
      <c r="C29" s="363">
        <v>1</v>
      </c>
      <c r="D29" s="349" t="s">
        <v>323</v>
      </c>
      <c r="E29" s="350" t="s">
        <v>336</v>
      </c>
      <c r="F29" s="362">
        <v>2600000</v>
      </c>
    </row>
    <row r="30" spans="2:6" x14ac:dyDescent="0.25">
      <c r="B30" s="582" t="s">
        <v>67</v>
      </c>
      <c r="C30" s="363">
        <v>1</v>
      </c>
      <c r="D30" s="349" t="s">
        <v>323</v>
      </c>
      <c r="E30" s="350" t="s">
        <v>68</v>
      </c>
      <c r="F30" s="362">
        <v>75000</v>
      </c>
    </row>
    <row r="31" spans="2:6" x14ac:dyDescent="0.25">
      <c r="B31" s="582"/>
      <c r="C31" s="363">
        <v>1</v>
      </c>
      <c r="D31" s="349" t="s">
        <v>323</v>
      </c>
      <c r="E31" s="350" t="s">
        <v>69</v>
      </c>
      <c r="F31" s="362">
        <v>70000</v>
      </c>
    </row>
    <row r="32" spans="2:6" x14ac:dyDescent="0.25">
      <c r="B32" s="582"/>
      <c r="C32" s="363">
        <v>1</v>
      </c>
      <c r="D32" s="349" t="s">
        <v>323</v>
      </c>
      <c r="E32" s="350" t="s">
        <v>70</v>
      </c>
      <c r="F32" s="362">
        <v>90000</v>
      </c>
    </row>
    <row r="33" spans="2:6" x14ac:dyDescent="0.25">
      <c r="B33" s="578" t="s">
        <v>337</v>
      </c>
      <c r="C33" s="363">
        <v>1</v>
      </c>
      <c r="D33" s="349" t="s">
        <v>323</v>
      </c>
      <c r="E33" s="350" t="s">
        <v>338</v>
      </c>
      <c r="F33" s="362">
        <v>122500</v>
      </c>
    </row>
    <row r="34" spans="2:6" x14ac:dyDescent="0.25">
      <c r="B34" s="579"/>
      <c r="C34" s="363">
        <v>1</v>
      </c>
      <c r="D34" s="349" t="s">
        <v>323</v>
      </c>
      <c r="E34" s="350" t="s">
        <v>339</v>
      </c>
      <c r="F34" s="362">
        <v>245000</v>
      </c>
    </row>
    <row r="35" spans="2:6" x14ac:dyDescent="0.25">
      <c r="B35" s="579"/>
      <c r="C35" s="363">
        <v>1</v>
      </c>
      <c r="D35" s="349" t="s">
        <v>323</v>
      </c>
      <c r="E35" s="350" t="s">
        <v>340</v>
      </c>
      <c r="F35" s="362">
        <v>490000</v>
      </c>
    </row>
    <row r="36" spans="2:6" x14ac:dyDescent="0.25">
      <c r="B36" s="579"/>
      <c r="C36" s="363">
        <v>1</v>
      </c>
      <c r="D36" s="349" t="s">
        <v>323</v>
      </c>
      <c r="E36" s="350" t="s">
        <v>341</v>
      </c>
      <c r="F36" s="362">
        <v>980000</v>
      </c>
    </row>
    <row r="37" spans="2:6" x14ac:dyDescent="0.25">
      <c r="B37" s="579"/>
      <c r="C37" s="363">
        <v>1</v>
      </c>
      <c r="D37" s="349" t="s">
        <v>323</v>
      </c>
      <c r="E37" s="350" t="s">
        <v>342</v>
      </c>
      <c r="F37" s="362">
        <v>1960000</v>
      </c>
    </row>
    <row r="38" spans="2:6" x14ac:dyDescent="0.25">
      <c r="B38" s="579"/>
      <c r="C38" s="363">
        <v>1</v>
      </c>
      <c r="D38" s="349" t="s">
        <v>323</v>
      </c>
      <c r="E38" s="350" t="s">
        <v>343</v>
      </c>
      <c r="F38" s="362">
        <v>3430000</v>
      </c>
    </row>
    <row r="39" spans="2:6" x14ac:dyDescent="0.25">
      <c r="B39" s="579"/>
      <c r="C39" s="363">
        <v>1</v>
      </c>
      <c r="D39" s="349" t="s">
        <v>323</v>
      </c>
      <c r="E39" s="350" t="s">
        <v>344</v>
      </c>
      <c r="F39" s="362">
        <v>5145000</v>
      </c>
    </row>
    <row r="40" spans="2:6" x14ac:dyDescent="0.25">
      <c r="B40" s="579"/>
      <c r="C40" s="363">
        <v>1</v>
      </c>
      <c r="D40" s="349" t="s">
        <v>323</v>
      </c>
      <c r="E40" s="350" t="s">
        <v>345</v>
      </c>
      <c r="F40" s="362">
        <v>1547702.5862068967</v>
      </c>
    </row>
    <row r="41" spans="2:6" x14ac:dyDescent="0.25">
      <c r="B41" s="580"/>
      <c r="C41" s="363">
        <v>1</v>
      </c>
      <c r="D41" s="349" t="s">
        <v>323</v>
      </c>
      <c r="E41" s="350" t="s">
        <v>346</v>
      </c>
      <c r="F41" s="362">
        <v>1856128.4482758623</v>
      </c>
    </row>
    <row r="42" spans="2:6" x14ac:dyDescent="0.25">
      <c r="B42" s="364" t="s">
        <v>347</v>
      </c>
      <c r="C42" s="363">
        <v>1</v>
      </c>
      <c r="D42" s="349" t="s">
        <v>348</v>
      </c>
      <c r="E42" s="350" t="s">
        <v>349</v>
      </c>
      <c r="F42" s="362">
        <v>250000</v>
      </c>
    </row>
    <row r="43" spans="2:6" x14ac:dyDescent="0.25">
      <c r="B43" s="582" t="s">
        <v>71</v>
      </c>
      <c r="C43" s="349">
        <v>1</v>
      </c>
      <c r="D43" s="349" t="s">
        <v>323</v>
      </c>
      <c r="E43" s="350" t="s">
        <v>350</v>
      </c>
      <c r="F43" s="362">
        <v>7126436.7816091962</v>
      </c>
    </row>
    <row r="44" spans="2:6" x14ac:dyDescent="0.25">
      <c r="B44" s="582"/>
      <c r="C44" s="349">
        <v>1</v>
      </c>
      <c r="D44" s="349" t="s">
        <v>323</v>
      </c>
      <c r="E44" s="350" t="s">
        <v>351</v>
      </c>
      <c r="F44" s="362">
        <v>10689655.172413794</v>
      </c>
    </row>
    <row r="45" spans="2:6" x14ac:dyDescent="0.25">
      <c r="B45" s="582"/>
      <c r="C45" s="349">
        <v>1</v>
      </c>
      <c r="D45" s="349" t="s">
        <v>323</v>
      </c>
      <c r="E45" s="350" t="s">
        <v>72</v>
      </c>
      <c r="F45" s="362">
        <v>16034482.758620691</v>
      </c>
    </row>
    <row r="46" spans="2:6" x14ac:dyDescent="0.25">
      <c r="B46" s="582" t="s">
        <v>352</v>
      </c>
      <c r="C46" s="349">
        <v>1</v>
      </c>
      <c r="D46" s="349" t="s">
        <v>323</v>
      </c>
      <c r="E46" s="350" t="s">
        <v>353</v>
      </c>
      <c r="F46" s="362">
        <v>3563218.3908045981</v>
      </c>
    </row>
    <row r="47" spans="2:6" x14ac:dyDescent="0.25">
      <c r="B47" s="582"/>
      <c r="C47" s="349">
        <v>1</v>
      </c>
      <c r="D47" s="349" t="s">
        <v>323</v>
      </c>
      <c r="E47" s="350" t="s">
        <v>351</v>
      </c>
      <c r="F47" s="362">
        <v>5344827.5862068972</v>
      </c>
    </row>
    <row r="48" spans="2:6" x14ac:dyDescent="0.25">
      <c r="B48" s="582"/>
      <c r="C48" s="349">
        <v>1</v>
      </c>
      <c r="D48" s="349" t="s">
        <v>323</v>
      </c>
      <c r="E48" s="350" t="s">
        <v>72</v>
      </c>
      <c r="F48" s="362">
        <v>8017241.3793103453</v>
      </c>
    </row>
    <row r="49" spans="2:7" x14ac:dyDescent="0.25">
      <c r="B49" s="578" t="s">
        <v>354</v>
      </c>
      <c r="C49" s="349">
        <v>1</v>
      </c>
      <c r="D49" s="349" t="s">
        <v>323</v>
      </c>
      <c r="E49" s="350" t="s">
        <v>355</v>
      </c>
      <c r="F49" s="362">
        <v>137500</v>
      </c>
    </row>
    <row r="50" spans="2:7" x14ac:dyDescent="0.25">
      <c r="B50" s="579"/>
      <c r="C50" s="349">
        <v>1</v>
      </c>
      <c r="D50" s="349" t="s">
        <v>323</v>
      </c>
      <c r="E50" s="350" t="s">
        <v>356</v>
      </c>
      <c r="F50" s="362">
        <v>250000</v>
      </c>
    </row>
    <row r="51" spans="2:7" x14ac:dyDescent="0.25">
      <c r="B51" s="580"/>
      <c r="C51" s="349">
        <v>1</v>
      </c>
      <c r="D51" s="349" t="s">
        <v>323</v>
      </c>
      <c r="E51" s="350" t="s">
        <v>357</v>
      </c>
      <c r="F51" s="362">
        <v>337500</v>
      </c>
    </row>
    <row r="52" spans="2:7" ht="89.25" x14ac:dyDescent="0.25">
      <c r="B52" s="583" t="s">
        <v>358</v>
      </c>
      <c r="C52" s="349">
        <v>1</v>
      </c>
      <c r="D52" s="349" t="s">
        <v>348</v>
      </c>
      <c r="E52" s="350" t="s">
        <v>359</v>
      </c>
      <c r="F52" s="362">
        <v>150000</v>
      </c>
      <c r="G52" s="340">
        <f>+F52*30</f>
        <v>4500000</v>
      </c>
    </row>
    <row r="53" spans="2:7" ht="89.25" x14ac:dyDescent="0.25">
      <c r="B53" s="584"/>
      <c r="C53" s="349">
        <v>1</v>
      </c>
      <c r="D53" s="349" t="s">
        <v>348</v>
      </c>
      <c r="E53" s="350" t="s">
        <v>360</v>
      </c>
      <c r="F53" s="362">
        <v>150000</v>
      </c>
    </row>
    <row r="54" spans="2:7" ht="25.5" x14ac:dyDescent="0.25">
      <c r="B54" s="584"/>
      <c r="C54" s="349">
        <v>1</v>
      </c>
      <c r="D54" s="349" t="s">
        <v>348</v>
      </c>
      <c r="E54" s="350" t="s">
        <v>361</v>
      </c>
      <c r="F54" s="362">
        <v>250000</v>
      </c>
    </row>
    <row r="55" spans="2:7" x14ac:dyDescent="0.25">
      <c r="B55" s="585"/>
      <c r="C55" s="349">
        <v>1</v>
      </c>
      <c r="D55" s="349" t="s">
        <v>348</v>
      </c>
      <c r="E55" s="350" t="s">
        <v>362</v>
      </c>
      <c r="F55" s="362">
        <v>175000</v>
      </c>
    </row>
    <row r="56" spans="2:7" x14ac:dyDescent="0.25">
      <c r="B56" s="582" t="s">
        <v>73</v>
      </c>
      <c r="C56" s="349">
        <v>1</v>
      </c>
      <c r="D56" s="349" t="s">
        <v>363</v>
      </c>
      <c r="E56" s="350" t="s">
        <v>364</v>
      </c>
      <c r="F56" s="362">
        <v>1000000</v>
      </c>
    </row>
    <row r="57" spans="2:7" x14ac:dyDescent="0.25">
      <c r="B57" s="582"/>
      <c r="C57" s="349">
        <v>1</v>
      </c>
      <c r="D57" s="349" t="s">
        <v>363</v>
      </c>
      <c r="E57" s="350" t="s">
        <v>74</v>
      </c>
      <c r="F57" s="362">
        <v>1000000</v>
      </c>
    </row>
    <row r="58" spans="2:7" x14ac:dyDescent="0.25">
      <c r="B58" s="582"/>
      <c r="C58" s="349">
        <v>1</v>
      </c>
      <c r="D58" s="349" t="s">
        <v>363</v>
      </c>
      <c r="E58" s="350" t="s">
        <v>365</v>
      </c>
      <c r="F58" s="362">
        <v>2400000</v>
      </c>
    </row>
    <row r="59" spans="2:7" ht="38.25" x14ac:dyDescent="0.25">
      <c r="B59" s="348" t="s">
        <v>366</v>
      </c>
      <c r="C59" s="349">
        <v>1</v>
      </c>
      <c r="D59" s="349" t="s">
        <v>323</v>
      </c>
      <c r="E59" s="350" t="s">
        <v>367</v>
      </c>
      <c r="F59" s="362">
        <v>1200000</v>
      </c>
    </row>
    <row r="60" spans="2:7" ht="38.25" x14ac:dyDescent="0.25">
      <c r="B60" s="583" t="s">
        <v>368</v>
      </c>
      <c r="C60" s="349">
        <v>1</v>
      </c>
      <c r="D60" s="349" t="s">
        <v>369</v>
      </c>
      <c r="E60" s="350" t="s">
        <v>370</v>
      </c>
      <c r="F60" s="362">
        <v>570000</v>
      </c>
    </row>
    <row r="61" spans="2:7" ht="38.25" x14ac:dyDescent="0.25">
      <c r="B61" s="584"/>
      <c r="C61" s="349">
        <v>1</v>
      </c>
      <c r="D61" s="349" t="s">
        <v>369</v>
      </c>
      <c r="E61" s="350" t="s">
        <v>371</v>
      </c>
      <c r="F61" s="362">
        <v>581400</v>
      </c>
    </row>
    <row r="62" spans="2:7" ht="38.25" x14ac:dyDescent="0.25">
      <c r="B62" s="584"/>
      <c r="C62" s="349">
        <v>1</v>
      </c>
      <c r="D62" s="349" t="s">
        <v>369</v>
      </c>
      <c r="E62" s="350" t="s">
        <v>372</v>
      </c>
      <c r="F62" s="362">
        <v>593028</v>
      </c>
    </row>
    <row r="63" spans="2:7" ht="38.25" x14ac:dyDescent="0.25">
      <c r="B63" s="584"/>
      <c r="C63" s="349">
        <v>1</v>
      </c>
      <c r="D63" s="349" t="s">
        <v>369</v>
      </c>
      <c r="E63" s="350" t="s">
        <v>373</v>
      </c>
      <c r="F63" s="362">
        <v>604888.56000000006</v>
      </c>
    </row>
    <row r="64" spans="2:7" ht="38.25" x14ac:dyDescent="0.25">
      <c r="B64" s="585"/>
      <c r="C64" s="349">
        <v>1</v>
      </c>
      <c r="D64" s="349" t="s">
        <v>369</v>
      </c>
      <c r="E64" s="350" t="s">
        <v>374</v>
      </c>
      <c r="F64" s="362">
        <v>616986.33120000002</v>
      </c>
    </row>
    <row r="65" spans="2:6" x14ac:dyDescent="0.25">
      <c r="B65" s="578" t="s">
        <v>375</v>
      </c>
      <c r="C65" s="349">
        <v>1</v>
      </c>
      <c r="D65" s="349" t="s">
        <v>323</v>
      </c>
      <c r="E65" s="350" t="s">
        <v>376</v>
      </c>
      <c r="F65" s="362">
        <v>350000</v>
      </c>
    </row>
    <row r="66" spans="2:6" x14ac:dyDescent="0.25">
      <c r="B66" s="579"/>
      <c r="C66" s="349">
        <v>1</v>
      </c>
      <c r="D66" s="349" t="s">
        <v>323</v>
      </c>
      <c r="E66" s="350" t="s">
        <v>377</v>
      </c>
      <c r="F66" s="362">
        <v>1200000</v>
      </c>
    </row>
    <row r="67" spans="2:6" x14ac:dyDescent="0.25">
      <c r="B67" s="579"/>
      <c r="C67" s="349">
        <v>1</v>
      </c>
      <c r="D67" s="349" t="s">
        <v>323</v>
      </c>
      <c r="E67" s="350" t="s">
        <v>378</v>
      </c>
      <c r="F67" s="362">
        <v>1800000</v>
      </c>
    </row>
    <row r="68" spans="2:6" x14ac:dyDescent="0.25">
      <c r="B68" s="579"/>
      <c r="C68" s="349">
        <v>1</v>
      </c>
      <c r="D68" s="349" t="s">
        <v>323</v>
      </c>
      <c r="E68" s="350" t="s">
        <v>379</v>
      </c>
      <c r="F68" s="362">
        <v>2700000</v>
      </c>
    </row>
    <row r="69" spans="2:6" x14ac:dyDescent="0.25">
      <c r="B69" s="579"/>
      <c r="C69" s="349">
        <v>1</v>
      </c>
      <c r="D69" s="349" t="s">
        <v>323</v>
      </c>
      <c r="E69" s="350" t="s">
        <v>380</v>
      </c>
      <c r="F69" s="362">
        <v>525000</v>
      </c>
    </row>
    <row r="70" spans="2:6" x14ac:dyDescent="0.25">
      <c r="B70" s="580"/>
      <c r="C70" s="349">
        <v>1</v>
      </c>
      <c r="D70" s="349" t="s">
        <v>323</v>
      </c>
      <c r="E70" s="350" t="s">
        <v>381</v>
      </c>
      <c r="F70" s="362">
        <v>4050000</v>
      </c>
    </row>
    <row r="71" spans="2:6" x14ac:dyDescent="0.25">
      <c r="B71" s="578" t="s">
        <v>382</v>
      </c>
      <c r="C71" s="349">
        <v>1</v>
      </c>
      <c r="D71" s="349" t="s">
        <v>323</v>
      </c>
      <c r="E71" s="350" t="s">
        <v>383</v>
      </c>
      <c r="F71" s="362">
        <v>1104000</v>
      </c>
    </row>
    <row r="72" spans="2:6" x14ac:dyDescent="0.25">
      <c r="B72" s="579"/>
      <c r="C72" s="349">
        <v>1</v>
      </c>
      <c r="D72" s="349" t="s">
        <v>323</v>
      </c>
      <c r="E72" s="350" t="s">
        <v>384</v>
      </c>
      <c r="F72" s="362">
        <v>1656000</v>
      </c>
    </row>
    <row r="73" spans="2:6" x14ac:dyDescent="0.25">
      <c r="B73" s="579"/>
      <c r="C73" s="349">
        <v>2</v>
      </c>
      <c r="D73" s="349" t="s">
        <v>385</v>
      </c>
      <c r="E73" s="350" t="s">
        <v>386</v>
      </c>
      <c r="F73" s="362">
        <v>4416000</v>
      </c>
    </row>
    <row r="74" spans="2:6" x14ac:dyDescent="0.25">
      <c r="B74" s="580"/>
      <c r="C74" s="349">
        <v>1</v>
      </c>
      <c r="D74" s="349" t="s">
        <v>323</v>
      </c>
      <c r="E74" s="350" t="s">
        <v>387</v>
      </c>
      <c r="F74" s="362">
        <v>4968000</v>
      </c>
    </row>
    <row r="75" spans="2:6" x14ac:dyDescent="0.25">
      <c r="B75" s="578" t="s">
        <v>388</v>
      </c>
      <c r="C75" s="349">
        <v>1</v>
      </c>
      <c r="D75" s="349" t="s">
        <v>348</v>
      </c>
      <c r="E75" s="350" t="s">
        <v>389</v>
      </c>
      <c r="F75" s="362">
        <v>1400</v>
      </c>
    </row>
    <row r="76" spans="2:6" x14ac:dyDescent="0.25">
      <c r="B76" s="579"/>
      <c r="C76" s="349">
        <v>1</v>
      </c>
      <c r="D76" s="349" t="s">
        <v>348</v>
      </c>
      <c r="E76" s="350" t="s">
        <v>390</v>
      </c>
      <c r="F76" s="362">
        <v>9000</v>
      </c>
    </row>
    <row r="77" spans="2:6" x14ac:dyDescent="0.25">
      <c r="B77" s="579"/>
      <c r="C77" s="349">
        <v>1</v>
      </c>
      <c r="D77" s="349" t="s">
        <v>348</v>
      </c>
      <c r="E77" s="350" t="s">
        <v>391</v>
      </c>
      <c r="F77" s="362">
        <v>10000</v>
      </c>
    </row>
    <row r="78" spans="2:6" x14ac:dyDescent="0.25">
      <c r="B78" s="580"/>
      <c r="C78" s="349">
        <v>1</v>
      </c>
      <c r="D78" s="349" t="s">
        <v>348</v>
      </c>
      <c r="E78" s="365" t="s">
        <v>392</v>
      </c>
      <c r="F78" s="362">
        <v>75000</v>
      </c>
    </row>
    <row r="79" spans="2:6" x14ac:dyDescent="0.25">
      <c r="B79" s="578" t="s">
        <v>393</v>
      </c>
      <c r="C79" s="349">
        <v>1</v>
      </c>
      <c r="D79" s="349" t="s">
        <v>348</v>
      </c>
      <c r="E79" s="350" t="s">
        <v>394</v>
      </c>
      <c r="F79" s="362">
        <v>20000</v>
      </c>
    </row>
    <row r="80" spans="2:6" x14ac:dyDescent="0.25">
      <c r="B80" s="579"/>
      <c r="C80" s="349">
        <v>1</v>
      </c>
      <c r="D80" s="349" t="s">
        <v>348</v>
      </c>
      <c r="E80" s="350" t="s">
        <v>395</v>
      </c>
      <c r="F80" s="362">
        <v>17000</v>
      </c>
    </row>
    <row r="81" spans="2:6" x14ac:dyDescent="0.25">
      <c r="B81" s="580"/>
      <c r="C81" s="349">
        <v>1</v>
      </c>
      <c r="D81" s="349" t="s">
        <v>348</v>
      </c>
      <c r="E81" s="350" t="s">
        <v>396</v>
      </c>
      <c r="F81" s="362">
        <v>18000</v>
      </c>
    </row>
    <row r="82" spans="2:6" x14ac:dyDescent="0.25">
      <c r="B82" s="578" t="s">
        <v>397</v>
      </c>
      <c r="C82" s="349">
        <v>1</v>
      </c>
      <c r="D82" s="349" t="s">
        <v>348</v>
      </c>
      <c r="E82" s="350" t="s">
        <v>398</v>
      </c>
      <c r="F82" s="362">
        <v>16000</v>
      </c>
    </row>
    <row r="83" spans="2:6" x14ac:dyDescent="0.25">
      <c r="B83" s="579"/>
      <c r="C83" s="349">
        <v>1</v>
      </c>
      <c r="D83" s="349" t="s">
        <v>348</v>
      </c>
      <c r="E83" s="350" t="s">
        <v>399</v>
      </c>
      <c r="F83" s="362">
        <v>17000</v>
      </c>
    </row>
    <row r="84" spans="2:6" x14ac:dyDescent="0.25">
      <c r="B84" s="580"/>
      <c r="C84" s="349">
        <v>1</v>
      </c>
      <c r="D84" s="349" t="s">
        <v>348</v>
      </c>
      <c r="E84" s="350" t="s">
        <v>400</v>
      </c>
      <c r="F84" s="362">
        <v>15000</v>
      </c>
    </row>
    <row r="85" spans="2:6" ht="25.5" x14ac:dyDescent="0.25">
      <c r="B85" s="366" t="s">
        <v>401</v>
      </c>
      <c r="C85" s="367">
        <v>1</v>
      </c>
      <c r="D85" s="349" t="s">
        <v>348</v>
      </c>
      <c r="E85" s="350" t="s">
        <v>402</v>
      </c>
      <c r="F85" s="362">
        <v>18000</v>
      </c>
    </row>
    <row r="86" spans="2:6" x14ac:dyDescent="0.25">
      <c r="B86" s="578" t="s">
        <v>403</v>
      </c>
      <c r="C86" s="349">
        <v>1</v>
      </c>
      <c r="D86" s="349" t="s">
        <v>348</v>
      </c>
      <c r="E86" s="350" t="s">
        <v>404</v>
      </c>
      <c r="F86" s="362">
        <v>525000</v>
      </c>
    </row>
    <row r="87" spans="2:6" x14ac:dyDescent="0.25">
      <c r="B87" s="579"/>
      <c r="C87" s="349">
        <v>1</v>
      </c>
      <c r="D87" s="349" t="s">
        <v>348</v>
      </c>
      <c r="E87" s="350" t="s">
        <v>405</v>
      </c>
      <c r="F87" s="362">
        <v>325000</v>
      </c>
    </row>
    <row r="88" spans="2:6" x14ac:dyDescent="0.25">
      <c r="B88" s="581" t="s">
        <v>406</v>
      </c>
      <c r="C88" s="349">
        <v>1</v>
      </c>
      <c r="D88" s="349" t="s">
        <v>407</v>
      </c>
      <c r="E88" s="368" t="s">
        <v>408</v>
      </c>
      <c r="F88" s="362">
        <v>300000</v>
      </c>
    </row>
    <row r="89" spans="2:6" x14ac:dyDescent="0.25">
      <c r="B89" s="581"/>
      <c r="C89" s="349">
        <v>1</v>
      </c>
      <c r="D89" s="349" t="s">
        <v>409</v>
      </c>
      <c r="E89" s="368" t="s">
        <v>410</v>
      </c>
      <c r="F89" s="362">
        <v>300000</v>
      </c>
    </row>
    <row r="90" spans="2:6" ht="25.5" x14ac:dyDescent="0.25">
      <c r="B90" s="581"/>
      <c r="C90" s="349">
        <v>1</v>
      </c>
      <c r="D90" s="349" t="s">
        <v>409</v>
      </c>
      <c r="E90" s="368" t="s">
        <v>411</v>
      </c>
      <c r="F90" s="362">
        <v>300000</v>
      </c>
    </row>
    <row r="91" spans="2:6" ht="25.5" x14ac:dyDescent="0.25">
      <c r="B91" s="369" t="s">
        <v>412</v>
      </c>
      <c r="C91" s="349">
        <v>1</v>
      </c>
      <c r="D91" s="349" t="s">
        <v>413</v>
      </c>
      <c r="E91" s="368" t="s">
        <v>414</v>
      </c>
      <c r="F91" s="362">
        <v>200000</v>
      </c>
    </row>
    <row r="92" spans="2:6" ht="63.75" x14ac:dyDescent="0.25">
      <c r="B92" s="369" t="s">
        <v>415</v>
      </c>
      <c r="C92" s="349">
        <v>1</v>
      </c>
      <c r="D92" s="349" t="s">
        <v>416</v>
      </c>
      <c r="E92" s="368" t="s">
        <v>417</v>
      </c>
      <c r="F92" s="362">
        <v>3400000</v>
      </c>
    </row>
    <row r="93" spans="2:6" x14ac:dyDescent="0.25">
      <c r="B93" s="582" t="s">
        <v>418</v>
      </c>
      <c r="C93" s="349">
        <v>1</v>
      </c>
      <c r="D93" s="349" t="s">
        <v>75</v>
      </c>
      <c r="E93" s="350" t="s">
        <v>419</v>
      </c>
      <c r="F93" s="362">
        <v>913000.00000000012</v>
      </c>
    </row>
    <row r="94" spans="2:6" x14ac:dyDescent="0.25">
      <c r="B94" s="582"/>
      <c r="C94" s="349">
        <v>1</v>
      </c>
      <c r="D94" s="349" t="s">
        <v>75</v>
      </c>
      <c r="E94" s="350" t="s">
        <v>420</v>
      </c>
      <c r="F94" s="362">
        <v>510000</v>
      </c>
    </row>
    <row r="95" spans="2:6" x14ac:dyDescent="0.25">
      <c r="B95" s="582"/>
      <c r="C95" s="349">
        <v>1</v>
      </c>
      <c r="D95" s="349" t="s">
        <v>75</v>
      </c>
      <c r="E95" s="350" t="s">
        <v>421</v>
      </c>
      <c r="F95" s="362">
        <v>360000</v>
      </c>
    </row>
    <row r="96" spans="2:6" x14ac:dyDescent="0.25">
      <c r="B96" s="582"/>
      <c r="C96" s="349">
        <v>1</v>
      </c>
      <c r="D96" s="349" t="s">
        <v>75</v>
      </c>
      <c r="E96" s="350" t="s">
        <v>422</v>
      </c>
      <c r="F96" s="362">
        <v>300000</v>
      </c>
    </row>
    <row r="97" spans="2:7" x14ac:dyDescent="0.25">
      <c r="B97" s="582"/>
      <c r="C97" s="349">
        <v>1</v>
      </c>
      <c r="D97" s="349" t="s">
        <v>75</v>
      </c>
      <c r="E97" s="350" t="s">
        <v>423</v>
      </c>
      <c r="F97" s="362">
        <v>500000</v>
      </c>
    </row>
    <row r="98" spans="2:7" x14ac:dyDescent="0.25">
      <c r="B98" s="582"/>
      <c r="C98" s="349">
        <v>1</v>
      </c>
      <c r="D98" s="349" t="s">
        <v>75</v>
      </c>
      <c r="E98" s="350" t="s">
        <v>424</v>
      </c>
      <c r="F98" s="362">
        <v>720000</v>
      </c>
    </row>
    <row r="99" spans="2:7" x14ac:dyDescent="0.25">
      <c r="B99" s="582" t="s">
        <v>425</v>
      </c>
      <c r="C99" s="349">
        <v>1</v>
      </c>
      <c r="D99" s="370" t="s">
        <v>75</v>
      </c>
      <c r="E99" s="350" t="s">
        <v>426</v>
      </c>
      <c r="F99" s="362">
        <v>6670000</v>
      </c>
    </row>
    <row r="100" spans="2:7" x14ac:dyDescent="0.25">
      <c r="B100" s="582"/>
      <c r="C100" s="349">
        <v>1</v>
      </c>
      <c r="D100" s="370" t="s">
        <v>75</v>
      </c>
      <c r="E100" s="350" t="s">
        <v>427</v>
      </c>
      <c r="F100" s="362">
        <v>3335000</v>
      </c>
    </row>
    <row r="101" spans="2:7" x14ac:dyDescent="0.25">
      <c r="B101" s="582"/>
      <c r="C101" s="349">
        <v>1</v>
      </c>
      <c r="D101" s="370" t="s">
        <v>75</v>
      </c>
      <c r="E101" s="350" t="s">
        <v>428</v>
      </c>
      <c r="F101" s="362">
        <v>2000000</v>
      </c>
    </row>
    <row r="102" spans="2:7" x14ac:dyDescent="0.25">
      <c r="B102" s="582"/>
      <c r="C102" s="349">
        <v>1</v>
      </c>
      <c r="D102" s="370" t="s">
        <v>75</v>
      </c>
      <c r="E102" s="350" t="s">
        <v>429</v>
      </c>
      <c r="F102" s="362">
        <v>1000000</v>
      </c>
    </row>
    <row r="103" spans="2:7" x14ac:dyDescent="0.25">
      <c r="B103" s="582"/>
      <c r="C103" s="349">
        <v>1</v>
      </c>
      <c r="D103" s="370" t="s">
        <v>75</v>
      </c>
      <c r="E103" s="350" t="s">
        <v>430</v>
      </c>
      <c r="F103" s="362">
        <v>500000</v>
      </c>
    </row>
    <row r="104" spans="2:7" x14ac:dyDescent="0.25">
      <c r="B104" s="583" t="s">
        <v>431</v>
      </c>
      <c r="C104" s="349">
        <v>1</v>
      </c>
      <c r="D104" s="370" t="s">
        <v>348</v>
      </c>
      <c r="E104" s="350" t="s">
        <v>432</v>
      </c>
      <c r="F104" s="362">
        <v>77000</v>
      </c>
    </row>
    <row r="105" spans="2:7" x14ac:dyDescent="0.25">
      <c r="B105" s="584"/>
      <c r="C105" s="349">
        <v>1</v>
      </c>
      <c r="D105" s="370" t="s">
        <v>348</v>
      </c>
      <c r="E105" s="350" t="s">
        <v>433</v>
      </c>
      <c r="F105" s="362">
        <v>192500</v>
      </c>
    </row>
    <row r="106" spans="2:7" x14ac:dyDescent="0.25">
      <c r="B106" s="584"/>
      <c r="C106" s="349">
        <v>1</v>
      </c>
      <c r="D106" s="370" t="s">
        <v>348</v>
      </c>
      <c r="E106" s="350" t="s">
        <v>434</v>
      </c>
      <c r="F106" s="362">
        <v>385000</v>
      </c>
    </row>
    <row r="107" spans="2:7" x14ac:dyDescent="0.25">
      <c r="B107" s="584"/>
      <c r="C107" s="349">
        <v>1</v>
      </c>
      <c r="D107" s="370" t="s">
        <v>348</v>
      </c>
      <c r="E107" s="350" t="s">
        <v>435</v>
      </c>
      <c r="F107" s="362">
        <v>400000</v>
      </c>
    </row>
    <row r="108" spans="2:7" x14ac:dyDescent="0.25">
      <c r="B108" s="585"/>
      <c r="C108" s="349">
        <v>1</v>
      </c>
      <c r="D108" s="370" t="s">
        <v>348</v>
      </c>
      <c r="E108" s="350" t="s">
        <v>436</v>
      </c>
      <c r="F108" s="362">
        <v>450000</v>
      </c>
    </row>
    <row r="109" spans="2:7" ht="51" x14ac:dyDescent="0.25">
      <c r="B109" s="578" t="s">
        <v>76</v>
      </c>
      <c r="C109" s="349">
        <v>1</v>
      </c>
      <c r="D109" s="349" t="s">
        <v>190</v>
      </c>
      <c r="E109" s="350" t="s">
        <v>437</v>
      </c>
      <c r="F109" s="362">
        <v>3000000</v>
      </c>
    </row>
    <row r="110" spans="2:7" ht="38.25" x14ac:dyDescent="0.25">
      <c r="B110" s="580"/>
      <c r="C110" s="349">
        <v>1</v>
      </c>
      <c r="D110" s="349" t="s">
        <v>190</v>
      </c>
      <c r="E110" s="350" t="s">
        <v>438</v>
      </c>
      <c r="F110" s="362">
        <v>12000000</v>
      </c>
      <c r="G110" s="340" t="s">
        <v>110</v>
      </c>
    </row>
    <row r="111" spans="2:7" ht="51" x14ac:dyDescent="0.25">
      <c r="B111" s="364" t="s">
        <v>439</v>
      </c>
      <c r="C111" s="371">
        <v>1</v>
      </c>
      <c r="D111" s="367" t="s">
        <v>440</v>
      </c>
      <c r="E111" s="368" t="s">
        <v>441</v>
      </c>
      <c r="F111" s="397">
        <v>6000000</v>
      </c>
    </row>
    <row r="112" spans="2:7" x14ac:dyDescent="0.25">
      <c r="B112" s="582" t="s">
        <v>442</v>
      </c>
      <c r="C112" s="371">
        <v>1</v>
      </c>
      <c r="D112" s="367" t="s">
        <v>77</v>
      </c>
      <c r="E112" s="350" t="s">
        <v>443</v>
      </c>
      <c r="F112" s="362">
        <v>800</v>
      </c>
    </row>
    <row r="113" spans="2:6" x14ac:dyDescent="0.25">
      <c r="B113" s="582"/>
      <c r="C113" s="371">
        <v>1</v>
      </c>
      <c r="D113" s="367" t="s">
        <v>77</v>
      </c>
      <c r="E113" s="350" t="s">
        <v>444</v>
      </c>
      <c r="F113" s="362">
        <v>1000</v>
      </c>
    </row>
    <row r="114" spans="2:6" x14ac:dyDescent="0.25">
      <c r="B114" s="582"/>
      <c r="C114" s="371">
        <v>1</v>
      </c>
      <c r="D114" s="367" t="s">
        <v>77</v>
      </c>
      <c r="E114" s="350" t="s">
        <v>445</v>
      </c>
      <c r="F114" s="362">
        <v>500</v>
      </c>
    </row>
    <row r="115" spans="2:6" x14ac:dyDescent="0.25">
      <c r="B115" s="582"/>
      <c r="C115" s="371">
        <v>1</v>
      </c>
      <c r="D115" s="367" t="s">
        <v>77</v>
      </c>
      <c r="E115" s="350" t="s">
        <v>446</v>
      </c>
      <c r="F115" s="362">
        <v>9000</v>
      </c>
    </row>
    <row r="116" spans="2:6" ht="25.5" x14ac:dyDescent="0.25">
      <c r="B116" s="582" t="s">
        <v>447</v>
      </c>
      <c r="C116" s="349" t="s">
        <v>448</v>
      </c>
      <c r="D116" s="370" t="s">
        <v>416</v>
      </c>
      <c r="E116" s="350" t="s">
        <v>449</v>
      </c>
      <c r="F116" s="362">
        <v>1500</v>
      </c>
    </row>
    <row r="117" spans="2:6" ht="25.5" x14ac:dyDescent="0.25">
      <c r="B117" s="582"/>
      <c r="C117" s="349" t="s">
        <v>448</v>
      </c>
      <c r="D117" s="370" t="s">
        <v>416</v>
      </c>
      <c r="E117" s="350" t="s">
        <v>450</v>
      </c>
      <c r="F117" s="362">
        <v>1350</v>
      </c>
    </row>
    <row r="118" spans="2:6" ht="26.25" thickBot="1" x14ac:dyDescent="0.3">
      <c r="B118" s="586"/>
      <c r="C118" s="353" t="s">
        <v>448</v>
      </c>
      <c r="D118" s="372" t="s">
        <v>416</v>
      </c>
      <c r="E118" s="354" t="s">
        <v>451</v>
      </c>
      <c r="F118" s="362">
        <v>850</v>
      </c>
    </row>
    <row r="119" spans="2:6" ht="14.25" customHeight="1" thickBot="1" x14ac:dyDescent="0.3">
      <c r="B119" s="566" t="s">
        <v>452</v>
      </c>
      <c r="C119" s="567"/>
      <c r="D119" s="567"/>
      <c r="E119" s="567"/>
      <c r="F119" s="373">
        <f>SUM(F17:F118)</f>
        <v>220501297.91013172</v>
      </c>
    </row>
    <row r="120" spans="2:6" ht="13.5" thickBot="1" x14ac:dyDescent="0.3">
      <c r="B120" s="357"/>
      <c r="C120" s="358"/>
      <c r="D120" s="358"/>
      <c r="E120" s="357"/>
      <c r="F120" s="359"/>
    </row>
    <row r="121" spans="2:6" x14ac:dyDescent="0.25">
      <c r="B121" s="571" t="s">
        <v>453</v>
      </c>
      <c r="C121" s="572"/>
      <c r="D121" s="572"/>
      <c r="E121" s="572"/>
      <c r="F121" s="572"/>
    </row>
    <row r="122" spans="2:6" ht="25.5" x14ac:dyDescent="0.25">
      <c r="B122" s="374" t="s">
        <v>62</v>
      </c>
      <c r="C122" s="345" t="s">
        <v>63</v>
      </c>
      <c r="D122" s="345" t="s">
        <v>64</v>
      </c>
      <c r="E122" s="375" t="s">
        <v>65</v>
      </c>
      <c r="F122" s="347" t="s">
        <v>309</v>
      </c>
    </row>
    <row r="123" spans="2:6" ht="38.25" x14ac:dyDescent="0.25">
      <c r="B123" s="568" t="s">
        <v>454</v>
      </c>
      <c r="C123" s="349">
        <v>1</v>
      </c>
      <c r="D123" s="349" t="s">
        <v>455</v>
      </c>
      <c r="E123" s="368" t="s">
        <v>456</v>
      </c>
      <c r="F123" s="362">
        <v>10360000</v>
      </c>
    </row>
    <row r="124" spans="2:6" ht="38.25" x14ac:dyDescent="0.25">
      <c r="B124" s="569"/>
      <c r="C124" s="349">
        <v>1</v>
      </c>
      <c r="D124" s="349" t="s">
        <v>455</v>
      </c>
      <c r="E124" s="368" t="s">
        <v>457</v>
      </c>
      <c r="F124" s="362">
        <v>5200050</v>
      </c>
    </row>
    <row r="125" spans="2:6" ht="25.5" x14ac:dyDescent="0.25">
      <c r="B125" s="569"/>
      <c r="C125" s="349">
        <v>1</v>
      </c>
      <c r="D125" s="349" t="s">
        <v>455</v>
      </c>
      <c r="E125" s="368" t="s">
        <v>458</v>
      </c>
      <c r="F125" s="362">
        <v>150000</v>
      </c>
    </row>
    <row r="126" spans="2:6" ht="89.25" x14ac:dyDescent="0.25">
      <c r="B126" s="569"/>
      <c r="C126" s="349">
        <v>1</v>
      </c>
      <c r="D126" s="349" t="s">
        <v>459</v>
      </c>
      <c r="E126" s="368" t="s">
        <v>460</v>
      </c>
      <c r="F126" s="362">
        <v>1800000</v>
      </c>
    </row>
    <row r="127" spans="2:6" ht="63.75" x14ac:dyDescent="0.25">
      <c r="B127" s="569"/>
      <c r="C127" s="349">
        <v>1</v>
      </c>
      <c r="D127" s="349" t="s">
        <v>461</v>
      </c>
      <c r="E127" s="368" t="s">
        <v>462</v>
      </c>
      <c r="F127" s="362">
        <v>25000</v>
      </c>
    </row>
    <row r="128" spans="2:6" ht="51" x14ac:dyDescent="0.25">
      <c r="B128" s="569"/>
      <c r="C128" s="349">
        <v>1</v>
      </c>
      <c r="D128" s="349" t="s">
        <v>463</v>
      </c>
      <c r="E128" s="368" t="s">
        <v>464</v>
      </c>
      <c r="F128" s="362">
        <v>100</v>
      </c>
    </row>
    <row r="129" spans="2:6" ht="165.75" x14ac:dyDescent="0.25">
      <c r="B129" s="569"/>
      <c r="C129" s="349">
        <v>1</v>
      </c>
      <c r="D129" s="349" t="s">
        <v>465</v>
      </c>
      <c r="E129" s="368" t="s">
        <v>466</v>
      </c>
      <c r="F129" s="362">
        <v>100</v>
      </c>
    </row>
    <row r="130" spans="2:6" ht="153" x14ac:dyDescent="0.25">
      <c r="B130" s="569"/>
      <c r="C130" s="349">
        <v>1</v>
      </c>
      <c r="D130" s="349" t="s">
        <v>467</v>
      </c>
      <c r="E130" s="368" t="s">
        <v>468</v>
      </c>
      <c r="F130" s="362">
        <v>300000</v>
      </c>
    </row>
    <row r="131" spans="2:6" ht="51" x14ac:dyDescent="0.25">
      <c r="B131" s="569"/>
      <c r="C131" s="349">
        <v>1</v>
      </c>
      <c r="D131" s="349" t="s">
        <v>469</v>
      </c>
      <c r="E131" s="368" t="s">
        <v>470</v>
      </c>
      <c r="F131" s="362">
        <v>190000</v>
      </c>
    </row>
    <row r="132" spans="2:6" ht="178.5" x14ac:dyDescent="0.25">
      <c r="B132" s="569"/>
      <c r="C132" s="349">
        <v>1</v>
      </c>
      <c r="D132" s="349" t="s">
        <v>471</v>
      </c>
      <c r="E132" s="368" t="s">
        <v>472</v>
      </c>
      <c r="F132" s="362">
        <v>400000</v>
      </c>
    </row>
    <row r="133" spans="2:6" ht="76.5" x14ac:dyDescent="0.25">
      <c r="B133" s="569"/>
      <c r="C133" s="349">
        <v>1</v>
      </c>
      <c r="D133" s="349" t="s">
        <v>473</v>
      </c>
      <c r="E133" s="368" t="s">
        <v>474</v>
      </c>
      <c r="F133" s="362">
        <v>7000000</v>
      </c>
    </row>
    <row r="134" spans="2:6" ht="63.75" x14ac:dyDescent="0.25">
      <c r="B134" s="569"/>
      <c r="C134" s="349">
        <v>1</v>
      </c>
      <c r="D134" s="349" t="s">
        <v>475</v>
      </c>
      <c r="E134" s="368" t="s">
        <v>476</v>
      </c>
      <c r="F134" s="362">
        <v>300000</v>
      </c>
    </row>
    <row r="135" spans="2:6" ht="127.5" x14ac:dyDescent="0.25">
      <c r="B135" s="569"/>
      <c r="C135" s="349">
        <v>1</v>
      </c>
      <c r="D135" s="349" t="s">
        <v>477</v>
      </c>
      <c r="E135" s="368" t="s">
        <v>478</v>
      </c>
      <c r="F135" s="362">
        <v>13000</v>
      </c>
    </row>
    <row r="136" spans="2:6" ht="191.25" x14ac:dyDescent="0.25">
      <c r="B136" s="569"/>
      <c r="C136" s="349">
        <v>1</v>
      </c>
      <c r="D136" s="349" t="s">
        <v>479</v>
      </c>
      <c r="E136" s="368" t="s">
        <v>480</v>
      </c>
      <c r="F136" s="362">
        <v>35000</v>
      </c>
    </row>
    <row r="137" spans="2:6" ht="216.75" x14ac:dyDescent="0.25">
      <c r="B137" s="569"/>
      <c r="C137" s="349">
        <v>1</v>
      </c>
      <c r="D137" s="349" t="s">
        <v>481</v>
      </c>
      <c r="E137" s="368" t="s">
        <v>482</v>
      </c>
      <c r="F137" s="362">
        <v>40000</v>
      </c>
    </row>
    <row r="138" spans="2:6" ht="76.5" x14ac:dyDescent="0.25">
      <c r="B138" s="569"/>
      <c r="C138" s="349">
        <v>1</v>
      </c>
      <c r="D138" s="349" t="s">
        <v>483</v>
      </c>
      <c r="E138" s="368" t="s">
        <v>484</v>
      </c>
      <c r="F138" s="362">
        <v>1650000</v>
      </c>
    </row>
    <row r="139" spans="2:6" ht="76.5" x14ac:dyDescent="0.25">
      <c r="B139" s="569"/>
      <c r="C139" s="349">
        <v>1</v>
      </c>
      <c r="D139" s="349" t="s">
        <v>485</v>
      </c>
      <c r="E139" s="368" t="s">
        <v>486</v>
      </c>
      <c r="F139" s="362">
        <v>1000000</v>
      </c>
    </row>
    <row r="140" spans="2:6" ht="90" thickBot="1" x14ac:dyDescent="0.3">
      <c r="B140" s="570"/>
      <c r="C140" s="353">
        <v>1</v>
      </c>
      <c r="D140" s="353" t="s">
        <v>487</v>
      </c>
      <c r="E140" s="376" t="s">
        <v>488</v>
      </c>
      <c r="F140" s="362">
        <v>250000</v>
      </c>
    </row>
    <row r="141" spans="2:6" ht="10.9" customHeight="1" thickBot="1" x14ac:dyDescent="0.3">
      <c r="B141" s="566" t="s">
        <v>489</v>
      </c>
      <c r="C141" s="567"/>
      <c r="D141" s="567"/>
      <c r="E141" s="567"/>
      <c r="F141" s="373">
        <f>SUM(F123:F140)</f>
        <v>28713250</v>
      </c>
    </row>
    <row r="142" spans="2:6" ht="13.5" thickBot="1" x14ac:dyDescent="0.3">
      <c r="B142" s="377"/>
      <c r="C142" s="377"/>
      <c r="D142" s="377"/>
      <c r="E142" s="377"/>
      <c r="F142" s="378"/>
    </row>
    <row r="143" spans="2:6" x14ac:dyDescent="0.25">
      <c r="B143" s="571" t="s">
        <v>490</v>
      </c>
      <c r="C143" s="572"/>
      <c r="D143" s="572"/>
      <c r="E143" s="572"/>
      <c r="F143" s="572"/>
    </row>
    <row r="144" spans="2:6" ht="25.5" x14ac:dyDescent="0.25">
      <c r="B144" s="374" t="s">
        <v>62</v>
      </c>
      <c r="C144" s="345" t="s">
        <v>63</v>
      </c>
      <c r="D144" s="345" t="s">
        <v>64</v>
      </c>
      <c r="E144" s="375" t="s">
        <v>65</v>
      </c>
      <c r="F144" s="379" t="s">
        <v>309</v>
      </c>
    </row>
    <row r="145" spans="2:6" ht="102" x14ac:dyDescent="0.25">
      <c r="B145" s="573" t="s">
        <v>491</v>
      </c>
      <c r="C145" s="349">
        <v>1</v>
      </c>
      <c r="D145" s="349" t="s">
        <v>492</v>
      </c>
      <c r="E145" s="368" t="s">
        <v>493</v>
      </c>
      <c r="F145" s="362">
        <v>1500</v>
      </c>
    </row>
    <row r="146" spans="2:6" ht="111" customHeight="1" x14ac:dyDescent="0.25">
      <c r="B146" s="574"/>
      <c r="C146" s="349">
        <v>1</v>
      </c>
      <c r="D146" s="349" t="s">
        <v>494</v>
      </c>
      <c r="E146" s="368" t="s">
        <v>495</v>
      </c>
      <c r="F146" s="362">
        <v>13000</v>
      </c>
    </row>
    <row r="147" spans="2:6" ht="38.25" x14ac:dyDescent="0.25">
      <c r="B147" s="574"/>
      <c r="C147" s="349">
        <v>1</v>
      </c>
      <c r="D147" s="349" t="s">
        <v>496</v>
      </c>
      <c r="E147" s="368" t="s">
        <v>497</v>
      </c>
      <c r="F147" s="362">
        <v>15000</v>
      </c>
    </row>
    <row r="148" spans="2:6" ht="78" customHeight="1" x14ac:dyDescent="0.25">
      <c r="B148" s="574"/>
      <c r="C148" s="349">
        <v>1</v>
      </c>
      <c r="D148" s="349" t="s">
        <v>498</v>
      </c>
      <c r="E148" s="368" t="s">
        <v>499</v>
      </c>
      <c r="F148" s="362">
        <v>286800</v>
      </c>
    </row>
    <row r="149" spans="2:6" ht="25.5" x14ac:dyDescent="0.25">
      <c r="B149" s="574"/>
      <c r="C149" s="349">
        <v>1</v>
      </c>
      <c r="D149" s="349" t="s">
        <v>500</v>
      </c>
      <c r="E149" s="368" t="s">
        <v>501</v>
      </c>
      <c r="F149" s="362">
        <v>35000</v>
      </c>
    </row>
    <row r="150" spans="2:6" ht="69.75" customHeight="1" thickBot="1" x14ac:dyDescent="0.3">
      <c r="B150" s="575"/>
      <c r="C150" s="349"/>
      <c r="D150" s="349" t="s">
        <v>502</v>
      </c>
      <c r="E150" s="368" t="s">
        <v>503</v>
      </c>
      <c r="F150" s="362">
        <v>40000</v>
      </c>
    </row>
    <row r="151" spans="2:6" ht="30" customHeight="1" thickBot="1" x14ac:dyDescent="0.3">
      <c r="B151" s="566" t="s">
        <v>504</v>
      </c>
      <c r="C151" s="567"/>
      <c r="D151" s="567"/>
      <c r="E151" s="567"/>
      <c r="F151" s="373">
        <f>SUM(F145:F150)</f>
        <v>391300</v>
      </c>
    </row>
    <row r="152" spans="2:6" ht="13.5" thickBot="1" x14ac:dyDescent="0.3">
      <c r="B152" s="357"/>
      <c r="C152" s="358"/>
      <c r="D152" s="358"/>
      <c r="E152" s="357"/>
      <c r="F152" s="359"/>
    </row>
    <row r="153" spans="2:6" s="381" customFormat="1" ht="38.450000000000003" customHeight="1" thickBot="1" x14ac:dyDescent="0.3">
      <c r="B153" s="559" t="s">
        <v>505</v>
      </c>
      <c r="C153" s="560"/>
      <c r="D153" s="560"/>
      <c r="E153" s="561"/>
      <c r="F153" s="380">
        <f>F13+F119+F141+F151</f>
        <v>251162037.56530413</v>
      </c>
    </row>
    <row r="154" spans="2:6" x14ac:dyDescent="0.25">
      <c r="B154" s="357"/>
      <c r="C154" s="358"/>
      <c r="D154" s="358"/>
      <c r="E154" s="357"/>
      <c r="F154" s="359"/>
    </row>
    <row r="155" spans="2:6" ht="18" x14ac:dyDescent="0.25">
      <c r="B155" s="576" t="s">
        <v>506</v>
      </c>
      <c r="C155" s="576"/>
      <c r="D155" s="576"/>
      <c r="E155" s="576"/>
      <c r="F155" s="576"/>
    </row>
    <row r="156" spans="2:6" ht="13.5" thickBot="1" x14ac:dyDescent="0.3">
      <c r="B156" s="357"/>
      <c r="C156" s="358"/>
      <c r="D156" s="358"/>
      <c r="E156" s="357"/>
      <c r="F156" s="359"/>
    </row>
    <row r="157" spans="2:6" ht="10.9" customHeight="1" x14ac:dyDescent="0.25">
      <c r="B157" s="571" t="s">
        <v>507</v>
      </c>
      <c r="C157" s="572"/>
      <c r="D157" s="572"/>
      <c r="E157" s="572"/>
      <c r="F157" s="572"/>
    </row>
    <row r="158" spans="2:6" ht="25.5" x14ac:dyDescent="0.25">
      <c r="B158" s="374" t="s">
        <v>62</v>
      </c>
      <c r="C158" s="345" t="s">
        <v>63</v>
      </c>
      <c r="D158" s="345" t="s">
        <v>64</v>
      </c>
      <c r="E158" s="375" t="s">
        <v>65</v>
      </c>
      <c r="F158" s="347" t="s">
        <v>309</v>
      </c>
    </row>
    <row r="159" spans="2:6" x14ac:dyDescent="0.25">
      <c r="B159" s="577"/>
      <c r="C159" s="349">
        <v>1</v>
      </c>
      <c r="D159" s="370" t="s">
        <v>77</v>
      </c>
      <c r="E159" s="350" t="s">
        <v>508</v>
      </c>
      <c r="F159" s="362">
        <v>0</v>
      </c>
    </row>
    <row r="160" spans="2:6" x14ac:dyDescent="0.25">
      <c r="B160" s="577"/>
      <c r="C160" s="349">
        <v>1</v>
      </c>
      <c r="D160" s="370" t="s">
        <v>77</v>
      </c>
      <c r="E160" s="350" t="s">
        <v>509</v>
      </c>
      <c r="F160" s="362">
        <v>45</v>
      </c>
    </row>
    <row r="161" spans="2:6" x14ac:dyDescent="0.25">
      <c r="B161" s="577"/>
      <c r="C161" s="349">
        <v>1</v>
      </c>
      <c r="D161" s="370" t="s">
        <v>77</v>
      </c>
      <c r="E161" s="350" t="s">
        <v>78</v>
      </c>
      <c r="F161" s="362">
        <v>0</v>
      </c>
    </row>
    <row r="162" spans="2:6" x14ac:dyDescent="0.25">
      <c r="B162" s="577"/>
      <c r="C162" s="349">
        <v>1</v>
      </c>
      <c r="D162" s="370" t="s">
        <v>77</v>
      </c>
      <c r="E162" s="350" t="s">
        <v>79</v>
      </c>
      <c r="F162" s="362">
        <v>35</v>
      </c>
    </row>
    <row r="163" spans="2:6" x14ac:dyDescent="0.25">
      <c r="B163" s="577"/>
      <c r="C163" s="349">
        <v>1</v>
      </c>
      <c r="D163" s="370" t="s">
        <v>77</v>
      </c>
      <c r="E163" s="350" t="s">
        <v>80</v>
      </c>
      <c r="F163" s="362">
        <v>0</v>
      </c>
    </row>
    <row r="164" spans="2:6" x14ac:dyDescent="0.25">
      <c r="B164" s="577"/>
      <c r="C164" s="349">
        <v>1</v>
      </c>
      <c r="D164" s="370" t="s">
        <v>77</v>
      </c>
      <c r="E164" s="350" t="s">
        <v>81</v>
      </c>
      <c r="F164" s="362">
        <v>0</v>
      </c>
    </row>
    <row r="165" spans="2:6" x14ac:dyDescent="0.25">
      <c r="B165" s="577"/>
      <c r="C165" s="349">
        <v>1</v>
      </c>
      <c r="D165" s="370" t="s">
        <v>77</v>
      </c>
      <c r="E165" s="350" t="s">
        <v>82</v>
      </c>
      <c r="F165" s="362">
        <v>0</v>
      </c>
    </row>
    <row r="166" spans="2:6" x14ac:dyDescent="0.25">
      <c r="B166" s="577"/>
      <c r="C166" s="349">
        <v>1</v>
      </c>
      <c r="D166" s="370" t="s">
        <v>77</v>
      </c>
      <c r="E166" s="350" t="s">
        <v>510</v>
      </c>
      <c r="F166" s="362">
        <v>0</v>
      </c>
    </row>
    <row r="167" spans="2:6" x14ac:dyDescent="0.25">
      <c r="B167" s="577"/>
      <c r="C167" s="349">
        <v>1</v>
      </c>
      <c r="D167" s="370" t="s">
        <v>77</v>
      </c>
      <c r="E167" s="350" t="s">
        <v>511</v>
      </c>
      <c r="F167" s="362">
        <v>110</v>
      </c>
    </row>
    <row r="168" spans="2:6" x14ac:dyDescent="0.25">
      <c r="B168" s="577"/>
      <c r="C168" s="349">
        <v>1</v>
      </c>
      <c r="D168" s="370" t="s">
        <v>77</v>
      </c>
      <c r="E168" s="350" t="s">
        <v>512</v>
      </c>
      <c r="F168" s="362">
        <v>0</v>
      </c>
    </row>
    <row r="169" spans="2:6" x14ac:dyDescent="0.25">
      <c r="B169" s="577"/>
      <c r="C169" s="349">
        <v>1</v>
      </c>
      <c r="D169" s="370" t="s">
        <v>77</v>
      </c>
      <c r="E169" s="350" t="s">
        <v>513</v>
      </c>
      <c r="F169" s="362">
        <v>200</v>
      </c>
    </row>
    <row r="170" spans="2:6" x14ac:dyDescent="0.25">
      <c r="B170" s="577"/>
      <c r="C170" s="349">
        <v>1</v>
      </c>
      <c r="D170" s="370" t="s">
        <v>77</v>
      </c>
      <c r="E170" s="350" t="s">
        <v>514</v>
      </c>
      <c r="F170" s="362">
        <v>0</v>
      </c>
    </row>
    <row r="171" spans="2:6" x14ac:dyDescent="0.25">
      <c r="B171" s="577"/>
      <c r="C171" s="349">
        <v>1</v>
      </c>
      <c r="D171" s="370" t="s">
        <v>77</v>
      </c>
      <c r="E171" s="350" t="s">
        <v>515</v>
      </c>
      <c r="F171" s="362">
        <v>275</v>
      </c>
    </row>
    <row r="172" spans="2:6" x14ac:dyDescent="0.25">
      <c r="B172" s="577"/>
      <c r="C172" s="349">
        <v>1</v>
      </c>
      <c r="D172" s="370" t="s">
        <v>77</v>
      </c>
      <c r="E172" s="350" t="s">
        <v>516</v>
      </c>
      <c r="F172" s="362">
        <v>0</v>
      </c>
    </row>
    <row r="173" spans="2:6" x14ac:dyDescent="0.25">
      <c r="B173" s="577"/>
      <c r="C173" s="349">
        <v>1</v>
      </c>
      <c r="D173" s="370" t="s">
        <v>77</v>
      </c>
      <c r="E173" s="350" t="s">
        <v>517</v>
      </c>
      <c r="F173" s="362">
        <v>0</v>
      </c>
    </row>
    <row r="174" spans="2:6" x14ac:dyDescent="0.25">
      <c r="B174" s="577"/>
      <c r="C174" s="349">
        <v>1</v>
      </c>
      <c r="D174" s="370" t="s">
        <v>77</v>
      </c>
      <c r="E174" s="350" t="s">
        <v>518</v>
      </c>
      <c r="F174" s="362">
        <v>30000</v>
      </c>
    </row>
    <row r="175" spans="2:6" x14ac:dyDescent="0.25">
      <c r="B175" s="577"/>
      <c r="C175" s="349">
        <v>1</v>
      </c>
      <c r="D175" s="370" t="s">
        <v>77</v>
      </c>
      <c r="E175" s="350" t="s">
        <v>519</v>
      </c>
      <c r="F175" s="362">
        <v>0</v>
      </c>
    </row>
    <row r="176" spans="2:6" x14ac:dyDescent="0.25">
      <c r="B176" s="577"/>
      <c r="C176" s="349">
        <v>1</v>
      </c>
      <c r="D176" s="370" t="s">
        <v>77</v>
      </c>
      <c r="E176" s="350" t="s">
        <v>520</v>
      </c>
      <c r="F176" s="362">
        <v>3500</v>
      </c>
    </row>
    <row r="177" spans="2:6" x14ac:dyDescent="0.25">
      <c r="B177" s="577"/>
      <c r="C177" s="349">
        <v>1</v>
      </c>
      <c r="D177" s="370" t="s">
        <v>77</v>
      </c>
      <c r="E177" s="350" t="s">
        <v>521</v>
      </c>
      <c r="F177" s="362">
        <v>100</v>
      </c>
    </row>
    <row r="178" spans="2:6" x14ac:dyDescent="0.25">
      <c r="B178" s="577"/>
      <c r="C178" s="349">
        <v>1</v>
      </c>
      <c r="D178" s="370" t="s">
        <v>77</v>
      </c>
      <c r="E178" s="350" t="s">
        <v>522</v>
      </c>
      <c r="F178" s="362">
        <v>100</v>
      </c>
    </row>
    <row r="179" spans="2:6" x14ac:dyDescent="0.25">
      <c r="B179" s="577"/>
      <c r="C179" s="349">
        <v>1</v>
      </c>
      <c r="D179" s="370" t="s">
        <v>77</v>
      </c>
      <c r="E179" s="350" t="s">
        <v>523</v>
      </c>
      <c r="F179" s="362">
        <v>1500</v>
      </c>
    </row>
    <row r="180" spans="2:6" x14ac:dyDescent="0.25">
      <c r="B180" s="577"/>
      <c r="C180" s="349">
        <v>1</v>
      </c>
      <c r="D180" s="370" t="s">
        <v>77</v>
      </c>
      <c r="E180" s="350" t="s">
        <v>524</v>
      </c>
      <c r="F180" s="362">
        <v>1800</v>
      </c>
    </row>
    <row r="181" spans="2:6" x14ac:dyDescent="0.25">
      <c r="B181" s="577"/>
      <c r="C181" s="349">
        <v>1</v>
      </c>
      <c r="D181" s="370" t="s">
        <v>77</v>
      </c>
      <c r="E181" s="350" t="s">
        <v>525</v>
      </c>
      <c r="F181" s="362">
        <v>2300</v>
      </c>
    </row>
    <row r="182" spans="2:6" x14ac:dyDescent="0.25">
      <c r="B182" s="577"/>
      <c r="C182" s="349">
        <v>1</v>
      </c>
      <c r="D182" s="370" t="s">
        <v>77</v>
      </c>
      <c r="E182" s="350" t="s">
        <v>526</v>
      </c>
      <c r="F182" s="362">
        <v>3000</v>
      </c>
    </row>
    <row r="183" spans="2:6" x14ac:dyDescent="0.25">
      <c r="B183" s="577"/>
      <c r="C183" s="349">
        <v>1</v>
      </c>
      <c r="D183" s="370" t="s">
        <v>77</v>
      </c>
      <c r="E183" s="350" t="s">
        <v>527</v>
      </c>
      <c r="F183" s="362">
        <v>0</v>
      </c>
    </row>
    <row r="184" spans="2:6" x14ac:dyDescent="0.25">
      <c r="B184" s="577"/>
      <c r="C184" s="349">
        <v>1</v>
      </c>
      <c r="D184" s="370" t="s">
        <v>77</v>
      </c>
      <c r="E184" s="350" t="s">
        <v>528</v>
      </c>
      <c r="F184" s="362">
        <v>0</v>
      </c>
    </row>
    <row r="185" spans="2:6" x14ac:dyDescent="0.25">
      <c r="B185" s="577"/>
      <c r="C185" s="349">
        <v>1</v>
      </c>
      <c r="D185" s="370" t="s">
        <v>77</v>
      </c>
      <c r="E185" s="350" t="s">
        <v>529</v>
      </c>
      <c r="F185" s="362">
        <v>0</v>
      </c>
    </row>
    <row r="186" spans="2:6" x14ac:dyDescent="0.25">
      <c r="B186" s="577"/>
      <c r="C186" s="349">
        <v>1</v>
      </c>
      <c r="D186" s="370" t="s">
        <v>77</v>
      </c>
      <c r="E186" s="350" t="s">
        <v>530</v>
      </c>
      <c r="F186" s="382">
        <v>0</v>
      </c>
    </row>
    <row r="187" spans="2:6" x14ac:dyDescent="0.25">
      <c r="B187" s="577"/>
      <c r="C187" s="349">
        <v>1</v>
      </c>
      <c r="D187" s="370" t="s">
        <v>77</v>
      </c>
      <c r="E187" s="350" t="s">
        <v>531</v>
      </c>
      <c r="F187" s="382">
        <v>0</v>
      </c>
    </row>
    <row r="188" spans="2:6" x14ac:dyDescent="0.25">
      <c r="B188" s="577"/>
      <c r="C188" s="349">
        <v>1</v>
      </c>
      <c r="D188" s="370" t="s">
        <v>77</v>
      </c>
      <c r="E188" s="350" t="s">
        <v>532</v>
      </c>
      <c r="F188" s="382">
        <v>0</v>
      </c>
    </row>
    <row r="189" spans="2:6" x14ac:dyDescent="0.25">
      <c r="B189" s="577"/>
      <c r="C189" s="349">
        <v>1</v>
      </c>
      <c r="D189" s="370" t="s">
        <v>77</v>
      </c>
      <c r="E189" s="350" t="s">
        <v>533</v>
      </c>
      <c r="F189" s="382">
        <v>0</v>
      </c>
    </row>
    <row r="190" spans="2:6" x14ac:dyDescent="0.25">
      <c r="B190" s="577"/>
      <c r="C190" s="349">
        <v>1</v>
      </c>
      <c r="D190" s="370" t="s">
        <v>77</v>
      </c>
      <c r="E190" s="350" t="s">
        <v>534</v>
      </c>
      <c r="F190" s="382">
        <v>0</v>
      </c>
    </row>
    <row r="191" spans="2:6" x14ac:dyDescent="0.25">
      <c r="B191" s="577"/>
      <c r="C191" s="349">
        <v>1</v>
      </c>
      <c r="D191" s="370" t="s">
        <v>77</v>
      </c>
      <c r="E191" s="350" t="s">
        <v>83</v>
      </c>
      <c r="F191" s="382">
        <v>0</v>
      </c>
    </row>
    <row r="192" spans="2:6" x14ac:dyDescent="0.25">
      <c r="B192" s="577"/>
      <c r="C192" s="349">
        <v>1</v>
      </c>
      <c r="D192" s="370" t="s">
        <v>77</v>
      </c>
      <c r="E192" s="350" t="s">
        <v>535</v>
      </c>
      <c r="F192" s="382">
        <v>100000</v>
      </c>
    </row>
    <row r="193" spans="2:6" x14ac:dyDescent="0.25">
      <c r="B193" s="577"/>
      <c r="C193" s="349">
        <v>1</v>
      </c>
      <c r="D193" s="370" t="s">
        <v>77</v>
      </c>
      <c r="E193" s="350" t="s">
        <v>84</v>
      </c>
      <c r="F193" s="382">
        <v>0</v>
      </c>
    </row>
    <row r="194" spans="2:6" x14ac:dyDescent="0.25">
      <c r="B194" s="577"/>
      <c r="C194" s="349">
        <v>1</v>
      </c>
      <c r="D194" s="370" t="s">
        <v>77</v>
      </c>
      <c r="E194" s="350" t="s">
        <v>85</v>
      </c>
      <c r="F194" s="382">
        <v>150000</v>
      </c>
    </row>
    <row r="195" spans="2:6" x14ac:dyDescent="0.25">
      <c r="B195" s="577"/>
      <c r="C195" s="349">
        <v>1</v>
      </c>
      <c r="D195" s="370" t="s">
        <v>77</v>
      </c>
      <c r="E195" s="350" t="s">
        <v>86</v>
      </c>
      <c r="F195" s="382">
        <v>0</v>
      </c>
    </row>
    <row r="196" spans="2:6" x14ac:dyDescent="0.25">
      <c r="B196" s="577"/>
      <c r="C196" s="349">
        <v>1</v>
      </c>
      <c r="D196" s="370" t="s">
        <v>77</v>
      </c>
      <c r="E196" s="350" t="s">
        <v>87</v>
      </c>
      <c r="F196" s="382">
        <v>250000</v>
      </c>
    </row>
    <row r="197" spans="2:6" x14ac:dyDescent="0.25">
      <c r="B197" s="577"/>
      <c r="C197" s="349">
        <v>1</v>
      </c>
      <c r="D197" s="370" t="s">
        <v>77</v>
      </c>
      <c r="E197" s="350" t="s">
        <v>88</v>
      </c>
      <c r="F197" s="382">
        <v>0</v>
      </c>
    </row>
    <row r="198" spans="2:6" x14ac:dyDescent="0.25">
      <c r="B198" s="577"/>
      <c r="C198" s="349">
        <v>1</v>
      </c>
      <c r="D198" s="370" t="s">
        <v>77</v>
      </c>
      <c r="E198" s="350" t="s">
        <v>89</v>
      </c>
      <c r="F198" s="382">
        <v>400000</v>
      </c>
    </row>
    <row r="199" spans="2:6" x14ac:dyDescent="0.25">
      <c r="B199" s="577"/>
      <c r="C199" s="349">
        <v>1</v>
      </c>
      <c r="D199" s="370" t="s">
        <v>77</v>
      </c>
      <c r="E199" s="350" t="s">
        <v>90</v>
      </c>
      <c r="F199" s="382">
        <v>0</v>
      </c>
    </row>
    <row r="200" spans="2:6" x14ac:dyDescent="0.25">
      <c r="B200" s="577"/>
      <c r="C200" s="349">
        <v>1</v>
      </c>
      <c r="D200" s="370" t="s">
        <v>77</v>
      </c>
      <c r="E200" s="350" t="s">
        <v>91</v>
      </c>
      <c r="F200" s="382">
        <v>450000</v>
      </c>
    </row>
    <row r="201" spans="2:6" x14ac:dyDescent="0.25">
      <c r="B201" s="577"/>
      <c r="C201" s="349">
        <v>1</v>
      </c>
      <c r="D201" s="370" t="s">
        <v>77</v>
      </c>
      <c r="E201" s="383" t="s">
        <v>92</v>
      </c>
      <c r="F201" s="382">
        <v>0</v>
      </c>
    </row>
    <row r="202" spans="2:6" x14ac:dyDescent="0.25">
      <c r="B202" s="577"/>
      <c r="C202" s="349">
        <v>1</v>
      </c>
      <c r="D202" s="370" t="s">
        <v>77</v>
      </c>
      <c r="E202" s="383" t="s">
        <v>93</v>
      </c>
      <c r="F202" s="382">
        <v>500000</v>
      </c>
    </row>
    <row r="203" spans="2:6" x14ac:dyDescent="0.25">
      <c r="B203" s="577"/>
      <c r="C203" s="349">
        <v>1</v>
      </c>
      <c r="D203" s="370" t="s">
        <v>77</v>
      </c>
      <c r="E203" s="350" t="s">
        <v>94</v>
      </c>
      <c r="F203" s="382">
        <v>0</v>
      </c>
    </row>
    <row r="204" spans="2:6" x14ac:dyDescent="0.25">
      <c r="B204" s="577"/>
      <c r="C204" s="349">
        <v>1</v>
      </c>
      <c r="D204" s="370" t="s">
        <v>77</v>
      </c>
      <c r="E204" s="350" t="s">
        <v>95</v>
      </c>
      <c r="F204" s="382">
        <v>550000</v>
      </c>
    </row>
    <row r="205" spans="2:6" x14ac:dyDescent="0.25">
      <c r="B205" s="577"/>
      <c r="C205" s="349">
        <v>1</v>
      </c>
      <c r="D205" s="370" t="s">
        <v>77</v>
      </c>
      <c r="E205" s="384" t="s">
        <v>96</v>
      </c>
      <c r="F205" s="382">
        <v>150000</v>
      </c>
    </row>
    <row r="206" spans="2:6" x14ac:dyDescent="0.25">
      <c r="B206" s="577"/>
      <c r="C206" s="349">
        <v>1</v>
      </c>
      <c r="D206" s="370" t="s">
        <v>77</v>
      </c>
      <c r="E206" s="384" t="s">
        <v>97</v>
      </c>
      <c r="F206" s="382">
        <v>150000</v>
      </c>
    </row>
    <row r="207" spans="2:6" x14ac:dyDescent="0.25">
      <c r="B207" s="577"/>
      <c r="C207" s="349">
        <v>1</v>
      </c>
      <c r="D207" s="370" t="s">
        <v>77</v>
      </c>
      <c r="E207" s="350" t="s">
        <v>98</v>
      </c>
      <c r="F207" s="382">
        <v>150000</v>
      </c>
    </row>
    <row r="208" spans="2:6" x14ac:dyDescent="0.25">
      <c r="B208" s="577"/>
      <c r="C208" s="349">
        <v>1</v>
      </c>
      <c r="D208" s="370" t="s">
        <v>77</v>
      </c>
      <c r="E208" s="350" t="s">
        <v>99</v>
      </c>
      <c r="F208" s="382">
        <v>150000</v>
      </c>
    </row>
    <row r="209" spans="2:6" ht="13.5" thickBot="1" x14ac:dyDescent="0.3">
      <c r="B209" s="577"/>
      <c r="C209" s="353">
        <v>1</v>
      </c>
      <c r="D209" s="353" t="s">
        <v>77</v>
      </c>
      <c r="E209" s="354" t="s">
        <v>100</v>
      </c>
      <c r="F209" s="382">
        <v>150000</v>
      </c>
    </row>
    <row r="210" spans="2:6" ht="89.25" x14ac:dyDescent="0.25">
      <c r="B210" s="577"/>
      <c r="C210" s="349">
        <v>1</v>
      </c>
      <c r="D210" s="349" t="s">
        <v>536</v>
      </c>
      <c r="E210" s="385" t="s">
        <v>537</v>
      </c>
      <c r="F210" s="386">
        <v>350000</v>
      </c>
    </row>
    <row r="211" spans="2:6" ht="114.75" x14ac:dyDescent="0.25">
      <c r="B211" s="577"/>
      <c r="C211" s="349">
        <v>1</v>
      </c>
      <c r="D211" s="349" t="s">
        <v>538</v>
      </c>
      <c r="E211" s="350" t="s">
        <v>539</v>
      </c>
      <c r="F211" s="362">
        <v>30000000</v>
      </c>
    </row>
    <row r="212" spans="2:6" ht="63.75" x14ac:dyDescent="0.25">
      <c r="B212" s="577"/>
      <c r="C212" s="349">
        <v>1</v>
      </c>
      <c r="D212" s="349" t="s">
        <v>540</v>
      </c>
      <c r="E212" s="350" t="s">
        <v>541</v>
      </c>
      <c r="F212" s="362">
        <v>10000000</v>
      </c>
    </row>
    <row r="213" spans="2:6" ht="63.75" x14ac:dyDescent="0.25">
      <c r="B213" s="577"/>
      <c r="C213" s="349">
        <v>1</v>
      </c>
      <c r="D213" s="349" t="s">
        <v>542</v>
      </c>
      <c r="E213" s="350" t="s">
        <v>543</v>
      </c>
      <c r="F213" s="362">
        <v>10000000</v>
      </c>
    </row>
    <row r="214" spans="2:6" ht="25.5" x14ac:dyDescent="0.25">
      <c r="B214" s="577"/>
      <c r="C214" s="349">
        <v>1</v>
      </c>
      <c r="D214" s="349" t="s">
        <v>544</v>
      </c>
      <c r="E214" s="387" t="s">
        <v>545</v>
      </c>
      <c r="F214" s="362">
        <v>400000</v>
      </c>
    </row>
    <row r="215" spans="2:6" ht="26.25" thickBot="1" x14ac:dyDescent="0.3">
      <c r="B215" s="577"/>
      <c r="C215" s="349">
        <v>1</v>
      </c>
      <c r="D215" s="349" t="s">
        <v>546</v>
      </c>
      <c r="E215" s="387" t="s">
        <v>547</v>
      </c>
      <c r="F215" s="388">
        <v>750000</v>
      </c>
    </row>
    <row r="216" spans="2:6" ht="10.9" customHeight="1" thickBot="1" x14ac:dyDescent="0.3">
      <c r="B216" s="566" t="s">
        <v>548</v>
      </c>
      <c r="C216" s="567"/>
      <c r="D216" s="567"/>
      <c r="E216" s="567"/>
      <c r="F216" s="373">
        <f>SUM(F159:F215)</f>
        <v>54692965</v>
      </c>
    </row>
    <row r="217" spans="2:6" ht="13.5" thickBot="1" x14ac:dyDescent="0.3">
      <c r="E217" s="357"/>
    </row>
    <row r="218" spans="2:6" x14ac:dyDescent="0.25">
      <c r="B218" s="571" t="s">
        <v>549</v>
      </c>
      <c r="C218" s="572"/>
      <c r="D218" s="572"/>
      <c r="E218" s="572"/>
      <c r="F218" s="572"/>
    </row>
    <row r="219" spans="2:6" ht="25.5" x14ac:dyDescent="0.25">
      <c r="B219" s="374" t="s">
        <v>62</v>
      </c>
      <c r="C219" s="345" t="s">
        <v>63</v>
      </c>
      <c r="D219" s="345" t="s">
        <v>64</v>
      </c>
      <c r="E219" s="375" t="s">
        <v>65</v>
      </c>
      <c r="F219" s="379" t="s">
        <v>309</v>
      </c>
    </row>
    <row r="220" spans="2:6" ht="115.5" thickBot="1" x14ac:dyDescent="0.3">
      <c r="B220" s="392" t="s">
        <v>550</v>
      </c>
      <c r="C220" s="353">
        <v>1</v>
      </c>
      <c r="D220" s="353" t="s">
        <v>551</v>
      </c>
      <c r="E220" s="376" t="s">
        <v>552</v>
      </c>
      <c r="F220" s="388">
        <v>1000000</v>
      </c>
    </row>
    <row r="221" spans="2:6" ht="10.9" customHeight="1" thickBot="1" x14ac:dyDescent="0.3">
      <c r="B221" s="566" t="s">
        <v>553</v>
      </c>
      <c r="C221" s="567"/>
      <c r="D221" s="567"/>
      <c r="E221" s="567"/>
      <c r="F221" s="373">
        <f>F220</f>
        <v>1000000</v>
      </c>
    </row>
    <row r="222" spans="2:6" ht="13.5" thickBot="1" x14ac:dyDescent="0.3">
      <c r="B222" s="393"/>
      <c r="C222" s="358"/>
      <c r="D222" s="358"/>
      <c r="E222" s="393"/>
      <c r="F222" s="359"/>
    </row>
    <row r="223" spans="2:6" s="381" customFormat="1" ht="38.450000000000003" customHeight="1" thickBot="1" x14ac:dyDescent="0.3">
      <c r="B223" s="559" t="s">
        <v>554</v>
      </c>
      <c r="C223" s="560"/>
      <c r="D223" s="560"/>
      <c r="E223" s="561"/>
      <c r="F223" s="380">
        <f>F216+F221</f>
        <v>55692965</v>
      </c>
    </row>
    <row r="225" spans="2:6" ht="13.5" thickBot="1" x14ac:dyDescent="0.3"/>
    <row r="226" spans="2:6" ht="18.75" thickBot="1" x14ac:dyDescent="0.3">
      <c r="B226" s="562" t="s">
        <v>555</v>
      </c>
      <c r="C226" s="563"/>
      <c r="D226" s="563"/>
      <c r="E226" s="564"/>
      <c r="F226" s="394">
        <f>F223+F153</f>
        <v>306855002.56530416</v>
      </c>
    </row>
    <row r="228" spans="2:6" ht="30" customHeight="1" x14ac:dyDescent="0.25">
      <c r="B228" s="565" t="s">
        <v>556</v>
      </c>
      <c r="C228" s="565"/>
      <c r="D228" s="565"/>
      <c r="E228" s="395" t="s">
        <v>557</v>
      </c>
    </row>
    <row r="229" spans="2:6" ht="27" customHeight="1" x14ac:dyDescent="0.25">
      <c r="B229" s="565" t="s">
        <v>558</v>
      </c>
      <c r="C229" s="565"/>
      <c r="D229" s="565"/>
      <c r="E229" s="395"/>
    </row>
    <row r="230" spans="2:6" ht="30" customHeight="1" x14ac:dyDescent="0.25">
      <c r="B230" s="565" t="s">
        <v>559</v>
      </c>
      <c r="C230" s="565"/>
      <c r="D230" s="565"/>
      <c r="E230" s="396">
        <v>12581780</v>
      </c>
    </row>
  </sheetData>
  <sheetProtection formatCells="0" formatColumns="0" formatRows="0" insertColumns="0" insertRows="0" insertHyperlinks="0" deleteColumns="0" deleteRows="0" sort="0" autoFilter="0" pivotTables="0"/>
  <mergeCells count="47">
    <mergeCell ref="B17:B22"/>
    <mergeCell ref="B1:F3"/>
    <mergeCell ref="B5:F5"/>
    <mergeCell ref="B7:F7"/>
    <mergeCell ref="B13:E13"/>
    <mergeCell ref="B15:F15"/>
    <mergeCell ref="B75:B78"/>
    <mergeCell ref="B23:B29"/>
    <mergeCell ref="B30:B32"/>
    <mergeCell ref="B33:B41"/>
    <mergeCell ref="B43:B45"/>
    <mergeCell ref="B46:B48"/>
    <mergeCell ref="B49:B51"/>
    <mergeCell ref="B52:B55"/>
    <mergeCell ref="B56:B58"/>
    <mergeCell ref="B60:B64"/>
    <mergeCell ref="B65:B70"/>
    <mergeCell ref="B71:B74"/>
    <mergeCell ref="B121:F121"/>
    <mergeCell ref="B79:B81"/>
    <mergeCell ref="B82:B84"/>
    <mergeCell ref="B86:B87"/>
    <mergeCell ref="B88:B90"/>
    <mergeCell ref="B93:B98"/>
    <mergeCell ref="B99:B103"/>
    <mergeCell ref="B104:B108"/>
    <mergeCell ref="B109:B110"/>
    <mergeCell ref="B112:B115"/>
    <mergeCell ref="B116:B118"/>
    <mergeCell ref="B119:E119"/>
    <mergeCell ref="B221:E221"/>
    <mergeCell ref="B123:B140"/>
    <mergeCell ref="B141:E141"/>
    <mergeCell ref="B143:F143"/>
    <mergeCell ref="B145:B150"/>
    <mergeCell ref="B151:E151"/>
    <mergeCell ref="B153:E153"/>
    <mergeCell ref="B155:F155"/>
    <mergeCell ref="B157:F157"/>
    <mergeCell ref="B159:B215"/>
    <mergeCell ref="B216:E216"/>
    <mergeCell ref="B218:F218"/>
    <mergeCell ref="B223:E223"/>
    <mergeCell ref="B226:E226"/>
    <mergeCell ref="B228:D228"/>
    <mergeCell ref="B229:D229"/>
    <mergeCell ref="B230:D230"/>
  </mergeCells>
  <printOptions horizontalCentered="1" verticalCentered="1"/>
  <pageMargins left="0.7" right="0.7" top="0.75" bottom="0.75" header="0.3" footer="0.3"/>
  <pageSetup scale="51" fitToHeight="5" orientation="portrait" r:id="rId1"/>
  <rowBreaks count="10" manualBreakCount="10">
    <brk id="29" min="1" max="5" man="1"/>
    <brk id="51" min="1" max="5" man="1"/>
    <brk id="64" min="1" max="5" man="1"/>
    <brk id="92" min="1" max="5" man="1"/>
    <brk id="119" min="1" max="5" man="1"/>
    <brk id="129" min="1" max="5" man="1"/>
    <brk id="132" min="1" max="5" man="1"/>
    <brk id="136" min="1" max="5" man="1"/>
    <brk id="151" min="1" max="5" man="1"/>
    <brk id="209" min="1"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66" sqref="B66"/>
    </sheetView>
  </sheetViews>
  <sheetFormatPr baseColWidth="10" defaultRowHeight="15" x14ac:dyDescent="0.25"/>
  <sheetData>
    <row r="1" spans="1:4" x14ac:dyDescent="0.25">
      <c r="A1" s="399" t="s">
        <v>562</v>
      </c>
    </row>
    <row r="2" spans="1:4" x14ac:dyDescent="0.25">
      <c r="A2" s="311" t="s">
        <v>563</v>
      </c>
    </row>
    <row r="3" spans="1:4" x14ac:dyDescent="0.25">
      <c r="A3" s="311" t="s">
        <v>564</v>
      </c>
    </row>
    <row r="4" spans="1:4" ht="15.75" thickBot="1" x14ac:dyDescent="0.3">
      <c r="A4" s="399" t="s">
        <v>565</v>
      </c>
    </row>
    <row r="5" spans="1:4" ht="30.75" thickBot="1" x14ac:dyDescent="0.3">
      <c r="A5" s="400" t="s">
        <v>267</v>
      </c>
      <c r="B5" s="401" t="s">
        <v>62</v>
      </c>
      <c r="C5" s="401" t="s">
        <v>566</v>
      </c>
      <c r="D5" s="401" t="s">
        <v>567</v>
      </c>
    </row>
    <row r="6" spans="1:4" ht="30" x14ac:dyDescent="0.25">
      <c r="A6" s="589" t="s">
        <v>568</v>
      </c>
      <c r="B6" s="402" t="s">
        <v>569</v>
      </c>
      <c r="C6" s="589" t="s">
        <v>561</v>
      </c>
      <c r="D6" s="589" t="s">
        <v>571</v>
      </c>
    </row>
    <row r="7" spans="1:4" ht="45.75" thickBot="1" x14ac:dyDescent="0.3">
      <c r="A7" s="591"/>
      <c r="B7" s="403" t="s">
        <v>570</v>
      </c>
      <c r="C7" s="591"/>
      <c r="D7" s="591"/>
    </row>
    <row r="8" spans="1:4" ht="74.25" customHeight="1" x14ac:dyDescent="0.25">
      <c r="A8" s="589" t="s">
        <v>572</v>
      </c>
      <c r="B8" s="589" t="s">
        <v>573</v>
      </c>
      <c r="C8" s="402" t="s">
        <v>574</v>
      </c>
      <c r="D8" s="589" t="s">
        <v>576</v>
      </c>
    </row>
    <row r="9" spans="1:4" ht="30" x14ac:dyDescent="0.25">
      <c r="A9" s="590"/>
      <c r="B9" s="590"/>
      <c r="C9" s="402" t="s">
        <v>575</v>
      </c>
      <c r="D9" s="590"/>
    </row>
    <row r="10" spans="1:4" ht="15.75" thickBot="1" x14ac:dyDescent="0.3">
      <c r="A10" s="591"/>
      <c r="B10" s="591"/>
      <c r="C10" s="403"/>
      <c r="D10" s="591"/>
    </row>
    <row r="11" spans="1:4" ht="45" x14ac:dyDescent="0.25">
      <c r="A11" s="589" t="s">
        <v>577</v>
      </c>
      <c r="B11" s="402" t="s">
        <v>578</v>
      </c>
      <c r="C11" s="402" t="s">
        <v>583</v>
      </c>
      <c r="D11" s="589" t="s">
        <v>585</v>
      </c>
    </row>
    <row r="12" spans="1:4" ht="45" x14ac:dyDescent="0.25">
      <c r="A12" s="590"/>
      <c r="B12" s="402" t="s">
        <v>579</v>
      </c>
      <c r="C12" s="402" t="s">
        <v>584</v>
      </c>
      <c r="D12" s="590"/>
    </row>
    <row r="13" spans="1:4" x14ac:dyDescent="0.25">
      <c r="A13" s="590"/>
      <c r="B13" s="402" t="s">
        <v>580</v>
      </c>
      <c r="C13" s="402"/>
      <c r="D13" s="590"/>
    </row>
    <row r="14" spans="1:4" ht="45" x14ac:dyDescent="0.25">
      <c r="A14" s="590"/>
      <c r="B14" s="402" t="s">
        <v>581</v>
      </c>
      <c r="C14" s="402"/>
      <c r="D14" s="590"/>
    </row>
    <row r="15" spans="1:4" ht="30.75" thickBot="1" x14ac:dyDescent="0.3">
      <c r="A15" s="591"/>
      <c r="B15" s="403" t="s">
        <v>582</v>
      </c>
      <c r="C15" s="403"/>
      <c r="D15" s="591"/>
    </row>
    <row r="16" spans="1:4" ht="45" x14ac:dyDescent="0.25">
      <c r="A16" s="589" t="s">
        <v>586</v>
      </c>
      <c r="B16" s="402" t="s">
        <v>587</v>
      </c>
      <c r="C16" s="402" t="s">
        <v>590</v>
      </c>
      <c r="D16" s="589" t="s">
        <v>585</v>
      </c>
    </row>
    <row r="17" spans="1:4" ht="30" x14ac:dyDescent="0.25">
      <c r="A17" s="590"/>
      <c r="B17" s="402" t="s">
        <v>588</v>
      </c>
      <c r="C17" s="402" t="s">
        <v>591</v>
      </c>
      <c r="D17" s="590"/>
    </row>
    <row r="18" spans="1:4" ht="45" x14ac:dyDescent="0.25">
      <c r="A18" s="590"/>
      <c r="B18" s="402" t="s">
        <v>581</v>
      </c>
      <c r="C18" s="402"/>
      <c r="D18" s="590"/>
    </row>
    <row r="19" spans="1:4" ht="30" x14ac:dyDescent="0.25">
      <c r="A19" s="590"/>
      <c r="B19" s="402" t="s">
        <v>589</v>
      </c>
      <c r="C19" s="402"/>
      <c r="D19" s="590"/>
    </row>
    <row r="20" spans="1:4" x14ac:dyDescent="0.25">
      <c r="A20" s="590"/>
      <c r="B20" s="402"/>
      <c r="C20" s="402"/>
      <c r="D20" s="590"/>
    </row>
    <row r="21" spans="1:4" ht="15.75" thickBot="1" x14ac:dyDescent="0.3">
      <c r="A21" s="591"/>
      <c r="B21" s="403"/>
      <c r="C21" s="403"/>
      <c r="D21" s="591"/>
    </row>
    <row r="22" spans="1:4" ht="105" x14ac:dyDescent="0.25">
      <c r="A22" s="589" t="s">
        <v>592</v>
      </c>
      <c r="B22" s="402" t="s">
        <v>593</v>
      </c>
      <c r="C22" s="402" t="s">
        <v>595</v>
      </c>
      <c r="D22" s="589" t="s">
        <v>585</v>
      </c>
    </row>
    <row r="23" spans="1:4" ht="30.75" thickBot="1" x14ac:dyDescent="0.3">
      <c r="A23" s="591"/>
      <c r="B23" s="403" t="s">
        <v>594</v>
      </c>
      <c r="C23" s="403" t="s">
        <v>596</v>
      </c>
      <c r="D23" s="591"/>
    </row>
  </sheetData>
  <mergeCells count="12">
    <mergeCell ref="A6:A7"/>
    <mergeCell ref="C6:C7"/>
    <mergeCell ref="D6:D7"/>
    <mergeCell ref="A8:A10"/>
    <mergeCell ref="B8:B10"/>
    <mergeCell ref="D8:D10"/>
    <mergeCell ref="A11:A15"/>
    <mergeCell ref="D11:D15"/>
    <mergeCell ref="A16:A21"/>
    <mergeCell ref="D16:D21"/>
    <mergeCell ref="A22:A23"/>
    <mergeCell ref="D22:D23"/>
  </mergeCells>
  <hyperlinks>
    <hyperlink ref="A2" r:id="rId1" display="../../mmendez/Downloads/DA_PROCESO_12-13-1208708_225000001_5511867.pdf"/>
    <hyperlink ref="A3" r:id="rId2" display="../../mmendez/Downloads/DA_PROCESO_14-13-2574065_133001000_10186573.pd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7" workbookViewId="0">
      <selection activeCell="B66" sqref="B66"/>
    </sheetView>
  </sheetViews>
  <sheetFormatPr baseColWidth="10" defaultRowHeight="15" x14ac:dyDescent="0.25"/>
  <cols>
    <col min="3" max="3" width="12.42578125" bestFit="1" customWidth="1"/>
    <col min="4" max="4" width="28.140625" customWidth="1"/>
  </cols>
  <sheetData>
    <row r="1" spans="1:4" ht="15.75" thickBot="1" x14ac:dyDescent="0.3"/>
    <row r="2" spans="1:4" ht="32.25" thickBot="1" x14ac:dyDescent="0.3">
      <c r="A2" s="404" t="s">
        <v>8</v>
      </c>
      <c r="B2" s="405" t="s">
        <v>597</v>
      </c>
      <c r="C2" s="405" t="s">
        <v>598</v>
      </c>
      <c r="D2" s="405" t="s">
        <v>599</v>
      </c>
    </row>
    <row r="3" spans="1:4" ht="63.75" thickBot="1" x14ac:dyDescent="0.3">
      <c r="A3" s="406" t="s">
        <v>600</v>
      </c>
      <c r="B3" s="407" t="s">
        <v>601</v>
      </c>
      <c r="C3" s="408">
        <v>14000000</v>
      </c>
      <c r="D3" s="407" t="s">
        <v>602</v>
      </c>
    </row>
    <row r="4" spans="1:4" ht="63.75" thickBot="1" x14ac:dyDescent="0.3">
      <c r="A4" s="406" t="s">
        <v>600</v>
      </c>
      <c r="B4" s="407" t="s">
        <v>603</v>
      </c>
      <c r="C4" s="408">
        <v>12000000</v>
      </c>
      <c r="D4" s="407" t="s">
        <v>602</v>
      </c>
    </row>
    <row r="5" spans="1:4" ht="47.25" x14ac:dyDescent="0.25">
      <c r="A5" s="592" t="s">
        <v>600</v>
      </c>
      <c r="B5" s="592" t="s">
        <v>604</v>
      </c>
      <c r="C5" s="409" t="s">
        <v>605</v>
      </c>
      <c r="D5" s="592" t="s">
        <v>607</v>
      </c>
    </row>
    <row r="6" spans="1:4" ht="15.75" x14ac:dyDescent="0.25">
      <c r="A6" s="594"/>
      <c r="B6" s="594"/>
      <c r="C6" s="409"/>
      <c r="D6" s="594"/>
    </row>
    <row r="7" spans="1:4" ht="48" thickBot="1" x14ac:dyDescent="0.3">
      <c r="A7" s="593"/>
      <c r="B7" s="593"/>
      <c r="C7" s="407" t="s">
        <v>606</v>
      </c>
      <c r="D7" s="593"/>
    </row>
    <row r="8" spans="1:4" ht="95.25" thickBot="1" x14ac:dyDescent="0.3">
      <c r="A8" s="406" t="s">
        <v>600</v>
      </c>
      <c r="B8" s="407" t="s">
        <v>608</v>
      </c>
      <c r="C8" s="408">
        <v>10000000</v>
      </c>
      <c r="D8" s="407" t="s">
        <v>609</v>
      </c>
    </row>
    <row r="9" spans="1:4" ht="95.25" thickBot="1" x14ac:dyDescent="0.3">
      <c r="A9" s="406" t="s">
        <v>600</v>
      </c>
      <c r="B9" s="407" t="s">
        <v>610</v>
      </c>
      <c r="C9" s="408">
        <v>15000000</v>
      </c>
      <c r="D9" s="407" t="s">
        <v>611</v>
      </c>
    </row>
    <row r="10" spans="1:4" ht="31.5" x14ac:dyDescent="0.25">
      <c r="A10" s="592" t="s">
        <v>612</v>
      </c>
      <c r="B10" s="592" t="s">
        <v>613</v>
      </c>
      <c r="C10" s="410">
        <v>4800000</v>
      </c>
      <c r="D10" s="409" t="s">
        <v>614</v>
      </c>
    </row>
    <row r="11" spans="1:4" ht="15.75" x14ac:dyDescent="0.25">
      <c r="A11" s="594"/>
      <c r="B11" s="594"/>
      <c r="C11" s="409"/>
      <c r="D11" s="409"/>
    </row>
    <row r="12" spans="1:4" ht="47.25" x14ac:dyDescent="0.25">
      <c r="A12" s="594"/>
      <c r="B12" s="594"/>
      <c r="C12" s="409"/>
      <c r="D12" s="409" t="s">
        <v>615</v>
      </c>
    </row>
    <row r="13" spans="1:4" ht="15.75" x14ac:dyDescent="0.25">
      <c r="A13" s="594"/>
      <c r="B13" s="594"/>
      <c r="C13" s="410">
        <v>4487323</v>
      </c>
      <c r="D13" s="409"/>
    </row>
    <row r="14" spans="1:4" ht="47.25" x14ac:dyDescent="0.25">
      <c r="A14" s="594"/>
      <c r="B14" s="594"/>
      <c r="C14" s="409"/>
      <c r="D14" s="409" t="s">
        <v>616</v>
      </c>
    </row>
    <row r="15" spans="1:4" ht="15.75" x14ac:dyDescent="0.25">
      <c r="A15" s="594"/>
      <c r="B15" s="594"/>
      <c r="C15" s="409"/>
      <c r="D15" s="409"/>
    </row>
    <row r="16" spans="1:4" ht="31.5" x14ac:dyDescent="0.25">
      <c r="A16" s="594"/>
      <c r="B16" s="594"/>
      <c r="C16" s="417">
        <v>6032000</v>
      </c>
      <c r="D16" s="418" t="s">
        <v>617</v>
      </c>
    </row>
    <row r="17" spans="1:4" ht="15.75" x14ac:dyDescent="0.25">
      <c r="A17" s="594"/>
      <c r="B17" s="594"/>
      <c r="C17" s="409"/>
      <c r="D17" s="402"/>
    </row>
    <row r="18" spans="1:4" ht="15.75" x14ac:dyDescent="0.25">
      <c r="A18" s="594"/>
      <c r="B18" s="594"/>
      <c r="C18" s="409"/>
      <c r="D18" s="402"/>
    </row>
    <row r="19" spans="1:4" ht="16.5" thickBot="1" x14ac:dyDescent="0.3">
      <c r="A19" s="593"/>
      <c r="B19" s="593"/>
      <c r="C19" s="408">
        <v>4000000</v>
      </c>
      <c r="D19" s="403"/>
    </row>
    <row r="20" spans="1:4" ht="63" customHeight="1" x14ac:dyDescent="0.25">
      <c r="A20" s="592" t="s">
        <v>612</v>
      </c>
      <c r="B20" s="592" t="s">
        <v>618</v>
      </c>
      <c r="C20" s="595">
        <v>6000000</v>
      </c>
      <c r="D20" s="597" t="s">
        <v>614</v>
      </c>
    </row>
    <row r="21" spans="1:4" ht="15.75" thickBot="1" x14ac:dyDescent="0.3">
      <c r="A21" s="593"/>
      <c r="B21" s="593"/>
      <c r="C21" s="596"/>
      <c r="D21" s="598"/>
    </row>
    <row r="22" spans="1:4" ht="79.5" thickBot="1" x14ac:dyDescent="0.3">
      <c r="A22" s="406" t="s">
        <v>619</v>
      </c>
      <c r="B22" s="407" t="s">
        <v>620</v>
      </c>
      <c r="C22" s="408">
        <v>130000</v>
      </c>
      <c r="D22" s="407" t="s">
        <v>614</v>
      </c>
    </row>
    <row r="23" spans="1:4" x14ac:dyDescent="0.25">
      <c r="A23" s="592"/>
      <c r="B23" s="592"/>
      <c r="C23" s="592"/>
      <c r="D23" s="592"/>
    </row>
    <row r="24" spans="1:4" ht="15.75" thickBot="1" x14ac:dyDescent="0.3">
      <c r="A24" s="593"/>
      <c r="B24" s="593"/>
      <c r="C24" s="593"/>
      <c r="D24" s="593"/>
    </row>
    <row r="25" spans="1:4" ht="32.25" thickBot="1" x14ac:dyDescent="0.3">
      <c r="A25" s="406" t="s">
        <v>8</v>
      </c>
      <c r="B25" s="407" t="s">
        <v>597</v>
      </c>
      <c r="C25" s="407" t="s">
        <v>598</v>
      </c>
      <c r="D25" s="407" t="s">
        <v>599</v>
      </c>
    </row>
    <row r="26" spans="1:4" ht="31.5" x14ac:dyDescent="0.25">
      <c r="A26" s="592" t="s">
        <v>621</v>
      </c>
      <c r="B26" s="592" t="s">
        <v>622</v>
      </c>
      <c r="C26" s="412">
        <v>4230</v>
      </c>
      <c r="D26" s="409" t="s">
        <v>623</v>
      </c>
    </row>
    <row r="27" spans="1:4" ht="15.75" x14ac:dyDescent="0.25">
      <c r="A27" s="594"/>
      <c r="B27" s="594"/>
      <c r="C27" s="409"/>
      <c r="D27" s="409"/>
    </row>
    <row r="28" spans="1:4" ht="32.25" thickBot="1" x14ac:dyDescent="0.3">
      <c r="A28" s="593"/>
      <c r="B28" s="593"/>
      <c r="C28" s="408">
        <v>8932</v>
      </c>
      <c r="D28" s="407" t="s">
        <v>624</v>
      </c>
    </row>
    <row r="29" spans="1:4" ht="48" thickBot="1" x14ac:dyDescent="0.3">
      <c r="A29" s="406" t="s">
        <v>625</v>
      </c>
      <c r="B29" s="407" t="s">
        <v>626</v>
      </c>
      <c r="C29" s="413">
        <v>90000</v>
      </c>
      <c r="D29" s="407" t="s">
        <v>627</v>
      </c>
    </row>
    <row r="30" spans="1:4" ht="63.75" thickBot="1" x14ac:dyDescent="0.3">
      <c r="A30" s="406" t="s">
        <v>625</v>
      </c>
      <c r="B30" s="407" t="s">
        <v>628</v>
      </c>
      <c r="C30" s="413">
        <v>218050</v>
      </c>
      <c r="D30" s="407" t="s">
        <v>629</v>
      </c>
    </row>
    <row r="31" spans="1:4" ht="48" thickBot="1" x14ac:dyDescent="0.3">
      <c r="A31" s="406" t="s">
        <v>625</v>
      </c>
      <c r="B31" s="407" t="s">
        <v>630</v>
      </c>
      <c r="C31" s="408">
        <v>138829</v>
      </c>
      <c r="D31" s="407" t="s">
        <v>629</v>
      </c>
    </row>
    <row r="32" spans="1:4" ht="48" thickBot="1" x14ac:dyDescent="0.3">
      <c r="A32" s="406" t="s">
        <v>625</v>
      </c>
      <c r="B32" s="407" t="s">
        <v>631</v>
      </c>
      <c r="C32" s="408">
        <v>108205</v>
      </c>
      <c r="D32" s="407" t="s">
        <v>632</v>
      </c>
    </row>
    <row r="33" spans="1:4" ht="48" thickBot="1" x14ac:dyDescent="0.3">
      <c r="A33" s="406" t="s">
        <v>625</v>
      </c>
      <c r="B33" s="407" t="s">
        <v>633</v>
      </c>
      <c r="C33" s="408">
        <v>285000</v>
      </c>
      <c r="D33" s="411" t="s">
        <v>634</v>
      </c>
    </row>
    <row r="34" spans="1:4" ht="48" thickBot="1" x14ac:dyDescent="0.3">
      <c r="A34" s="406" t="s">
        <v>625</v>
      </c>
      <c r="B34" s="407" t="s">
        <v>635</v>
      </c>
      <c r="C34" s="408">
        <v>1105000</v>
      </c>
      <c r="D34" s="407" t="s">
        <v>636</v>
      </c>
    </row>
    <row r="35" spans="1:4" ht="48" thickBot="1" x14ac:dyDescent="0.3">
      <c r="A35" s="406" t="s">
        <v>625</v>
      </c>
      <c r="B35" s="407" t="s">
        <v>637</v>
      </c>
      <c r="C35" s="408">
        <v>1105000</v>
      </c>
      <c r="D35" s="407" t="s">
        <v>636</v>
      </c>
    </row>
    <row r="36" spans="1:4" ht="48" thickBot="1" x14ac:dyDescent="0.3">
      <c r="A36" s="406" t="s">
        <v>625</v>
      </c>
      <c r="B36" s="407" t="s">
        <v>638</v>
      </c>
      <c r="C36" s="408">
        <v>291949</v>
      </c>
      <c r="D36" s="407" t="s">
        <v>632</v>
      </c>
    </row>
    <row r="37" spans="1:4" ht="48" thickBot="1" x14ac:dyDescent="0.3">
      <c r="A37" s="406" t="s">
        <v>625</v>
      </c>
      <c r="B37" s="407" t="s">
        <v>639</v>
      </c>
      <c r="C37" s="408">
        <v>939600</v>
      </c>
      <c r="D37" s="407" t="s">
        <v>640</v>
      </c>
    </row>
    <row r="38" spans="1:4" ht="48" thickBot="1" x14ac:dyDescent="0.3">
      <c r="A38" s="406" t="s">
        <v>625</v>
      </c>
      <c r="B38" s="407" t="s">
        <v>641</v>
      </c>
      <c r="C38" s="408">
        <v>540000</v>
      </c>
      <c r="D38" s="407" t="s">
        <v>640</v>
      </c>
    </row>
    <row r="39" spans="1:4" ht="48" thickBot="1" x14ac:dyDescent="0.3">
      <c r="A39" s="406" t="s">
        <v>625</v>
      </c>
      <c r="B39" s="407" t="s">
        <v>642</v>
      </c>
      <c r="C39" s="408">
        <v>600000</v>
      </c>
      <c r="D39" s="407" t="s">
        <v>640</v>
      </c>
    </row>
    <row r="40" spans="1:4" ht="48" thickBot="1" x14ac:dyDescent="0.3">
      <c r="A40" s="406" t="s">
        <v>625</v>
      </c>
      <c r="B40" s="407" t="s">
        <v>643</v>
      </c>
      <c r="C40" s="408">
        <v>1654000</v>
      </c>
      <c r="D40" s="407" t="s">
        <v>632</v>
      </c>
    </row>
    <row r="41" spans="1:4" ht="16.5" thickBot="1" x14ac:dyDescent="0.3">
      <c r="A41" s="406"/>
      <c r="B41" s="407"/>
      <c r="C41" s="407"/>
      <c r="D41" s="407"/>
    </row>
    <row r="42" spans="1:4" ht="16.5" thickBot="1" x14ac:dyDescent="0.3">
      <c r="A42" s="406"/>
      <c r="B42" s="407"/>
      <c r="C42" s="407"/>
      <c r="D42" s="407"/>
    </row>
  </sheetData>
  <mergeCells count="15">
    <mergeCell ref="A20:A21"/>
    <mergeCell ref="B20:B21"/>
    <mergeCell ref="C20:C21"/>
    <mergeCell ref="D20:D21"/>
    <mergeCell ref="A5:A7"/>
    <mergeCell ref="B5:B7"/>
    <mergeCell ref="D5:D7"/>
    <mergeCell ref="A10:A19"/>
    <mergeCell ref="B10:B19"/>
    <mergeCell ref="A23:A24"/>
    <mergeCell ref="B23:B24"/>
    <mergeCell ref="C23:C24"/>
    <mergeCell ref="D23:D24"/>
    <mergeCell ref="A26:A28"/>
    <mergeCell ref="B26:B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5"/>
  <sheetViews>
    <sheetView zoomScale="70" zoomScaleNormal="70" zoomScalePageLayoutView="70" workbookViewId="0">
      <pane ySplit="9" topLeftCell="A10" activePane="bottomLeft" state="frozen"/>
      <selection pane="bottomLeft" activeCell="A8" sqref="A8:F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445" t="s">
        <v>45</v>
      </c>
      <c r="B4" s="445"/>
      <c r="C4" s="445"/>
      <c r="D4" s="445"/>
      <c r="E4" s="445"/>
      <c r="F4" s="445"/>
      <c r="G4" s="445"/>
      <c r="H4" s="445"/>
      <c r="I4" s="445"/>
      <c r="J4" s="445"/>
      <c r="K4" s="445"/>
      <c r="L4" s="445"/>
      <c r="M4" s="445"/>
      <c r="N4" s="445"/>
      <c r="O4" s="445"/>
      <c r="P4" s="445"/>
      <c r="Q4" s="445"/>
      <c r="R4" s="445"/>
      <c r="S4" s="445"/>
      <c r="T4" s="445"/>
      <c r="U4" s="445"/>
      <c r="V4" s="445"/>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463" t="s">
        <v>57</v>
      </c>
      <c r="H7" s="464"/>
      <c r="I7" s="464"/>
      <c r="J7" s="465"/>
      <c r="K7" s="466" t="s">
        <v>58</v>
      </c>
      <c r="L7" s="467"/>
      <c r="M7" s="467"/>
      <c r="N7" s="468"/>
      <c r="O7" s="454" t="s">
        <v>59</v>
      </c>
      <c r="P7" s="455"/>
      <c r="Q7" s="455"/>
      <c r="R7" s="455"/>
      <c r="S7" s="446" t="s">
        <v>60</v>
      </c>
      <c r="T7" s="446" t="s">
        <v>42</v>
      </c>
      <c r="U7" s="469" t="s">
        <v>43</v>
      </c>
      <c r="V7" s="446" t="s">
        <v>44</v>
      </c>
    </row>
    <row r="8" spans="1:22" s="5" customFormat="1" ht="15" customHeight="1" x14ac:dyDescent="0.25">
      <c r="A8" s="505" t="s">
        <v>0</v>
      </c>
      <c r="B8" s="505" t="s">
        <v>24</v>
      </c>
      <c r="C8" s="505" t="s">
        <v>1</v>
      </c>
      <c r="D8" s="505" t="s">
        <v>8</v>
      </c>
      <c r="E8" s="505" t="s">
        <v>12</v>
      </c>
      <c r="F8" s="507" t="s">
        <v>13</v>
      </c>
      <c r="G8" s="513" t="s">
        <v>2</v>
      </c>
      <c r="H8" s="511" t="s">
        <v>11</v>
      </c>
      <c r="I8" s="501" t="s">
        <v>39</v>
      </c>
      <c r="J8" s="509" t="s">
        <v>40</v>
      </c>
      <c r="K8" s="503" t="s">
        <v>2</v>
      </c>
      <c r="L8" s="499" t="s">
        <v>11</v>
      </c>
      <c r="M8" s="487" t="s">
        <v>39</v>
      </c>
      <c r="N8" s="488" t="s">
        <v>40</v>
      </c>
      <c r="O8" s="456" t="s">
        <v>2</v>
      </c>
      <c r="P8" s="458" t="s">
        <v>11</v>
      </c>
      <c r="Q8" s="460" t="s">
        <v>39</v>
      </c>
      <c r="R8" s="461" t="s">
        <v>40</v>
      </c>
      <c r="S8" s="447"/>
      <c r="T8" s="447"/>
      <c r="U8" s="470"/>
      <c r="V8" s="447"/>
    </row>
    <row r="9" spans="1:22" s="5" customFormat="1" ht="48" customHeight="1" thickBot="1" x14ac:dyDescent="0.3">
      <c r="A9" s="506"/>
      <c r="B9" s="506"/>
      <c r="C9" s="506"/>
      <c r="D9" s="506"/>
      <c r="E9" s="506"/>
      <c r="F9" s="508"/>
      <c r="G9" s="514"/>
      <c r="H9" s="512"/>
      <c r="I9" s="502"/>
      <c r="J9" s="510"/>
      <c r="K9" s="504"/>
      <c r="L9" s="500"/>
      <c r="M9" s="487"/>
      <c r="N9" s="489"/>
      <c r="O9" s="457"/>
      <c r="P9" s="459"/>
      <c r="Q9" s="460"/>
      <c r="R9" s="462"/>
      <c r="S9" s="448"/>
      <c r="T9" s="448"/>
      <c r="U9" s="471"/>
      <c r="V9" s="448"/>
    </row>
    <row r="10" spans="1:22" s="5" customFormat="1" ht="48" customHeight="1" thickBot="1" x14ac:dyDescent="0.3">
      <c r="A10" s="127"/>
      <c r="B10" s="128"/>
      <c r="C10" s="128"/>
      <c r="D10" s="128"/>
      <c r="E10" s="128"/>
      <c r="F10" s="128"/>
      <c r="G10" s="129"/>
      <c r="H10" s="125"/>
      <c r="I10" s="125"/>
      <c r="J10" s="130"/>
      <c r="K10" s="131"/>
      <c r="L10" s="124"/>
      <c r="M10" s="124"/>
      <c r="N10" s="132"/>
      <c r="O10" s="133"/>
      <c r="P10" s="126"/>
      <c r="Q10" s="126"/>
      <c r="R10" s="134"/>
      <c r="S10" s="135"/>
      <c r="T10" s="135"/>
      <c r="U10" s="136"/>
      <c r="V10" s="135"/>
    </row>
    <row r="11" spans="1:22" ht="45" x14ac:dyDescent="0.25">
      <c r="A11" s="528">
        <v>1</v>
      </c>
      <c r="B11" s="531"/>
      <c r="C11" s="531" t="s">
        <v>17</v>
      </c>
      <c r="D11" s="23" t="s">
        <v>3</v>
      </c>
      <c r="E11" s="24">
        <v>1</v>
      </c>
      <c r="F11" s="46">
        <v>1</v>
      </c>
      <c r="G11" s="52">
        <v>5415022.820453315</v>
      </c>
      <c r="H11" s="42">
        <f>+G11*16%</f>
        <v>866403.65127253043</v>
      </c>
      <c r="I11" s="42">
        <f>+H11+G11</f>
        <v>6281426.4717258457</v>
      </c>
      <c r="J11" s="59">
        <f>+I11*F11*E11</f>
        <v>6281426.4717258457</v>
      </c>
      <c r="K11" s="52">
        <v>660000</v>
      </c>
      <c r="L11" s="26">
        <f>+K11*16%</f>
        <v>105600</v>
      </c>
      <c r="M11" s="26">
        <f>+L11+K11</f>
        <v>765600</v>
      </c>
      <c r="N11" s="63">
        <f>+M11*E11*F11</f>
        <v>765600</v>
      </c>
      <c r="O11" s="52">
        <v>500000</v>
      </c>
      <c r="P11" s="26">
        <f>+O11*16%</f>
        <v>80000</v>
      </c>
      <c r="Q11" s="26">
        <f>+P11+O11</f>
        <v>580000</v>
      </c>
      <c r="R11" s="63">
        <f>+Q11*F11*E11</f>
        <v>580000</v>
      </c>
      <c r="S11" s="84">
        <f>AVERAGE(N11,R11)</f>
        <v>672800</v>
      </c>
      <c r="T11" s="449">
        <f>SUM(S11:S21)</f>
        <v>74511092</v>
      </c>
      <c r="U11" s="472">
        <v>1</v>
      </c>
      <c r="V11" s="449">
        <f>+U11*T11</f>
        <v>74511092</v>
      </c>
    </row>
    <row r="12" spans="1:22" ht="90" customHeight="1" x14ac:dyDescent="0.25">
      <c r="A12" s="529"/>
      <c r="B12" s="532"/>
      <c r="C12" s="532"/>
      <c r="D12" s="27" t="s">
        <v>20</v>
      </c>
      <c r="E12" s="28">
        <v>5</v>
      </c>
      <c r="F12" s="47">
        <v>7</v>
      </c>
      <c r="G12" s="53">
        <v>1315076.9706815192</v>
      </c>
      <c r="H12" s="30">
        <f t="shared" ref="H12:H21" si="0">+G12*16%</f>
        <v>210412.31530904307</v>
      </c>
      <c r="I12" s="30">
        <f t="shared" ref="I12:I52" si="1">+H12+G12</f>
        <v>1525489.2859905623</v>
      </c>
      <c r="J12" s="60">
        <f t="shared" ref="J12:J52" si="2">+I12*F12*E12</f>
        <v>53392125.009669676</v>
      </c>
      <c r="K12" s="53">
        <v>350000</v>
      </c>
      <c r="L12" s="30">
        <f t="shared" ref="L12:L21" si="3">+K12*16%</f>
        <v>56000</v>
      </c>
      <c r="M12" s="30">
        <f t="shared" ref="M12:M52" si="4">+L12+K12</f>
        <v>406000</v>
      </c>
      <c r="N12" s="60">
        <f t="shared" ref="N12:N21" si="5">+M12*E12*F12</f>
        <v>14210000</v>
      </c>
      <c r="O12" s="53">
        <v>250000</v>
      </c>
      <c r="P12" s="30">
        <f t="shared" ref="P12:P21" si="6">+O12*16%</f>
        <v>40000</v>
      </c>
      <c r="Q12" s="30">
        <f t="shared" ref="Q12:Q52" si="7">+P12+O12</f>
        <v>290000</v>
      </c>
      <c r="R12" s="60">
        <f t="shared" ref="R12:R52" si="8">+Q12*F12*E12</f>
        <v>10150000</v>
      </c>
      <c r="S12" s="85">
        <f t="shared" ref="S12:S52" si="9">AVERAGE(N12,R12)</f>
        <v>12180000</v>
      </c>
      <c r="T12" s="450"/>
      <c r="U12" s="473"/>
      <c r="V12" s="450"/>
    </row>
    <row r="13" spans="1:22" ht="60" x14ac:dyDescent="0.25">
      <c r="A13" s="529"/>
      <c r="B13" s="532"/>
      <c r="C13" s="532"/>
      <c r="D13" s="31" t="s">
        <v>19</v>
      </c>
      <c r="E13" s="29">
        <v>5</v>
      </c>
      <c r="F13" s="47">
        <v>6</v>
      </c>
      <c r="G13" s="53">
        <v>409994.58497717953</v>
      </c>
      <c r="H13" s="30">
        <f t="shared" si="0"/>
        <v>65599.133596348722</v>
      </c>
      <c r="I13" s="30">
        <f t="shared" si="1"/>
        <v>475593.71857352823</v>
      </c>
      <c r="J13" s="60">
        <f t="shared" si="2"/>
        <v>14267811.557205845</v>
      </c>
      <c r="K13" s="53">
        <v>230000</v>
      </c>
      <c r="L13" s="30">
        <f t="shared" si="3"/>
        <v>36800</v>
      </c>
      <c r="M13" s="30">
        <f t="shared" si="4"/>
        <v>266800</v>
      </c>
      <c r="N13" s="60">
        <f t="shared" si="5"/>
        <v>8004000</v>
      </c>
      <c r="O13" s="53">
        <v>220000</v>
      </c>
      <c r="P13" s="30">
        <f t="shared" si="6"/>
        <v>35200</v>
      </c>
      <c r="Q13" s="30">
        <f t="shared" si="7"/>
        <v>255200</v>
      </c>
      <c r="R13" s="60">
        <f t="shared" si="8"/>
        <v>7656000</v>
      </c>
      <c r="S13" s="85">
        <f t="shared" si="9"/>
        <v>7830000</v>
      </c>
      <c r="T13" s="450"/>
      <c r="U13" s="473"/>
      <c r="V13" s="450"/>
    </row>
    <row r="14" spans="1:22" ht="90" x14ac:dyDescent="0.25">
      <c r="A14" s="529"/>
      <c r="B14" s="532"/>
      <c r="C14" s="532"/>
      <c r="D14" s="31" t="s">
        <v>18</v>
      </c>
      <c r="E14" s="29">
        <v>5</v>
      </c>
      <c r="F14" s="47">
        <v>7</v>
      </c>
      <c r="G14" s="53">
        <v>232072.40659085635</v>
      </c>
      <c r="H14" s="30">
        <f t="shared" si="0"/>
        <v>37131.585054537019</v>
      </c>
      <c r="I14" s="30">
        <f t="shared" si="1"/>
        <v>269203.99164539337</v>
      </c>
      <c r="J14" s="60">
        <f t="shared" si="2"/>
        <v>9422139.7075887676</v>
      </c>
      <c r="K14" s="53">
        <v>150000</v>
      </c>
      <c r="L14" s="30">
        <f t="shared" si="3"/>
        <v>24000</v>
      </c>
      <c r="M14" s="30">
        <f t="shared" si="4"/>
        <v>174000</v>
      </c>
      <c r="N14" s="60">
        <f t="shared" si="5"/>
        <v>6090000</v>
      </c>
      <c r="O14" s="53">
        <v>120000</v>
      </c>
      <c r="P14" s="30">
        <f t="shared" si="6"/>
        <v>19200</v>
      </c>
      <c r="Q14" s="30">
        <f t="shared" si="7"/>
        <v>139200</v>
      </c>
      <c r="R14" s="60">
        <f t="shared" si="8"/>
        <v>4872000</v>
      </c>
      <c r="S14" s="85">
        <f t="shared" si="9"/>
        <v>5481000</v>
      </c>
      <c r="T14" s="450"/>
      <c r="U14" s="473"/>
      <c r="V14" s="450"/>
    </row>
    <row r="15" spans="1:22" ht="75" x14ac:dyDescent="0.25">
      <c r="A15" s="529"/>
      <c r="B15" s="532"/>
      <c r="C15" s="532"/>
      <c r="D15" s="32" t="s">
        <v>21</v>
      </c>
      <c r="E15" s="28">
        <v>5</v>
      </c>
      <c r="F15" s="47">
        <v>6</v>
      </c>
      <c r="G15" s="53">
        <v>123771.95018179006</v>
      </c>
      <c r="H15" s="30">
        <f t="shared" si="0"/>
        <v>19803.512029086411</v>
      </c>
      <c r="I15" s="30">
        <f t="shared" si="1"/>
        <v>143575.46221087646</v>
      </c>
      <c r="J15" s="60">
        <f t="shared" si="2"/>
        <v>4307263.8663262939</v>
      </c>
      <c r="K15" s="53">
        <v>80000</v>
      </c>
      <c r="L15" s="30">
        <f t="shared" si="3"/>
        <v>12800</v>
      </c>
      <c r="M15" s="30">
        <f t="shared" si="4"/>
        <v>92800</v>
      </c>
      <c r="N15" s="60">
        <f t="shared" si="5"/>
        <v>2784000</v>
      </c>
      <c r="O15" s="53">
        <v>40000</v>
      </c>
      <c r="P15" s="30">
        <f t="shared" si="6"/>
        <v>6400</v>
      </c>
      <c r="Q15" s="30">
        <f t="shared" si="7"/>
        <v>46400</v>
      </c>
      <c r="R15" s="60">
        <f t="shared" si="8"/>
        <v>1392000</v>
      </c>
      <c r="S15" s="85">
        <f t="shared" si="9"/>
        <v>2088000</v>
      </c>
      <c r="T15" s="450"/>
      <c r="U15" s="473"/>
      <c r="V15" s="450"/>
    </row>
    <row r="16" spans="1:22" ht="75" x14ac:dyDescent="0.25">
      <c r="A16" s="529"/>
      <c r="B16" s="532"/>
      <c r="C16" s="532"/>
      <c r="D16" s="33" t="s">
        <v>38</v>
      </c>
      <c r="E16" s="28">
        <v>5</v>
      </c>
      <c r="F16" s="47">
        <v>200</v>
      </c>
      <c r="G16" s="53">
        <v>20112.941904540883</v>
      </c>
      <c r="H16" s="30">
        <f t="shared" si="0"/>
        <v>3218.0707047265414</v>
      </c>
      <c r="I16" s="30">
        <f t="shared" si="1"/>
        <v>23331.012609267425</v>
      </c>
      <c r="J16" s="60">
        <f t="shared" si="2"/>
        <v>23331012.609267425</v>
      </c>
      <c r="K16" s="53">
        <v>22000</v>
      </c>
      <c r="L16" s="30">
        <f t="shared" si="3"/>
        <v>3520</v>
      </c>
      <c r="M16" s="30">
        <f t="shared" si="4"/>
        <v>25520</v>
      </c>
      <c r="N16" s="60">
        <f t="shared" si="5"/>
        <v>25520000</v>
      </c>
      <c r="O16" s="53">
        <v>13500</v>
      </c>
      <c r="P16" s="30">
        <f t="shared" si="6"/>
        <v>2160</v>
      </c>
      <c r="Q16" s="30">
        <f t="shared" si="7"/>
        <v>15660</v>
      </c>
      <c r="R16" s="60">
        <f t="shared" si="8"/>
        <v>15660000</v>
      </c>
      <c r="S16" s="85">
        <f t="shared" si="9"/>
        <v>20590000</v>
      </c>
      <c r="T16" s="450"/>
      <c r="U16" s="473"/>
      <c r="V16" s="450"/>
    </row>
    <row r="17" spans="1:22" ht="150" x14ac:dyDescent="0.25">
      <c r="A17" s="529"/>
      <c r="B17" s="532"/>
      <c r="C17" s="532"/>
      <c r="D17" s="27" t="s">
        <v>36</v>
      </c>
      <c r="E17" s="28">
        <v>5</v>
      </c>
      <c r="F17" s="47">
        <v>100</v>
      </c>
      <c r="G17" s="53">
        <v>92828.962636342549</v>
      </c>
      <c r="H17" s="30">
        <f t="shared" si="0"/>
        <v>14852.634021814809</v>
      </c>
      <c r="I17" s="30">
        <f t="shared" si="1"/>
        <v>107681.59665815736</v>
      </c>
      <c r="J17" s="60">
        <f t="shared" si="2"/>
        <v>53840798.329078674</v>
      </c>
      <c r="K17" s="53">
        <v>48000</v>
      </c>
      <c r="L17" s="30">
        <f t="shared" si="3"/>
        <v>7680</v>
      </c>
      <c r="M17" s="30">
        <f t="shared" si="4"/>
        <v>55680</v>
      </c>
      <c r="N17" s="60">
        <f t="shared" si="5"/>
        <v>27840000</v>
      </c>
      <c r="O17" s="53">
        <v>35000</v>
      </c>
      <c r="P17" s="30">
        <f t="shared" si="6"/>
        <v>5600</v>
      </c>
      <c r="Q17" s="30">
        <f t="shared" si="7"/>
        <v>40600</v>
      </c>
      <c r="R17" s="60">
        <f t="shared" si="8"/>
        <v>20300000</v>
      </c>
      <c r="S17" s="85">
        <f t="shared" si="9"/>
        <v>24070000</v>
      </c>
      <c r="T17" s="450"/>
      <c r="U17" s="473"/>
      <c r="V17" s="450"/>
    </row>
    <row r="18" spans="1:22" ht="30" x14ac:dyDescent="0.25">
      <c r="A18" s="529"/>
      <c r="B18" s="532"/>
      <c r="C18" s="532"/>
      <c r="D18" s="34" t="s">
        <v>4</v>
      </c>
      <c r="E18" s="29">
        <v>1</v>
      </c>
      <c r="F18" s="47">
        <v>1</v>
      </c>
      <c r="G18" s="53">
        <v>541502.28204533155</v>
      </c>
      <c r="H18" s="30">
        <f t="shared" si="0"/>
        <v>86640.365127253055</v>
      </c>
      <c r="I18" s="30">
        <f t="shared" si="1"/>
        <v>628142.64717258466</v>
      </c>
      <c r="J18" s="60">
        <f t="shared" si="2"/>
        <v>628142.64717258466</v>
      </c>
      <c r="K18" s="53">
        <v>300000</v>
      </c>
      <c r="L18" s="30">
        <f t="shared" si="3"/>
        <v>48000</v>
      </c>
      <c r="M18" s="30">
        <f t="shared" si="4"/>
        <v>348000</v>
      </c>
      <c r="N18" s="60">
        <f t="shared" si="5"/>
        <v>348000</v>
      </c>
      <c r="O18" s="53">
        <v>230000</v>
      </c>
      <c r="P18" s="30">
        <f t="shared" si="6"/>
        <v>36800</v>
      </c>
      <c r="Q18" s="30">
        <f t="shared" si="7"/>
        <v>266800</v>
      </c>
      <c r="R18" s="60">
        <f t="shared" si="8"/>
        <v>266800</v>
      </c>
      <c r="S18" s="85">
        <f t="shared" si="9"/>
        <v>307400</v>
      </c>
      <c r="T18" s="450"/>
      <c r="U18" s="473"/>
      <c r="V18" s="450"/>
    </row>
    <row r="19" spans="1:22" ht="15" customHeight="1" x14ac:dyDescent="0.25">
      <c r="A19" s="529"/>
      <c r="B19" s="532"/>
      <c r="C19" s="532"/>
      <c r="D19" s="32" t="s">
        <v>5</v>
      </c>
      <c r="E19" s="28">
        <v>1</v>
      </c>
      <c r="F19" s="47">
        <v>1</v>
      </c>
      <c r="G19" s="53">
        <v>116036.20329542817</v>
      </c>
      <c r="H19" s="30">
        <f t="shared" si="0"/>
        <v>18565.79252726851</v>
      </c>
      <c r="I19" s="30">
        <f t="shared" si="1"/>
        <v>134601.99582269668</v>
      </c>
      <c r="J19" s="60">
        <f t="shared" si="2"/>
        <v>134601.99582269668</v>
      </c>
      <c r="K19" s="53">
        <v>80000</v>
      </c>
      <c r="L19" s="30">
        <f t="shared" si="3"/>
        <v>12800</v>
      </c>
      <c r="M19" s="30">
        <f t="shared" si="4"/>
        <v>92800</v>
      </c>
      <c r="N19" s="60">
        <f t="shared" si="5"/>
        <v>92800</v>
      </c>
      <c r="O19" s="53">
        <v>70000</v>
      </c>
      <c r="P19" s="30">
        <f t="shared" si="6"/>
        <v>11200</v>
      </c>
      <c r="Q19" s="30">
        <f t="shared" si="7"/>
        <v>81200</v>
      </c>
      <c r="R19" s="60">
        <f t="shared" si="8"/>
        <v>81200</v>
      </c>
      <c r="S19" s="85">
        <f t="shared" si="9"/>
        <v>87000</v>
      </c>
      <c r="T19" s="450"/>
      <c r="U19" s="473"/>
      <c r="V19" s="450"/>
    </row>
    <row r="20" spans="1:22" ht="90" x14ac:dyDescent="0.25">
      <c r="A20" s="529"/>
      <c r="B20" s="532"/>
      <c r="C20" s="532"/>
      <c r="D20" s="32" t="s">
        <v>6</v>
      </c>
      <c r="E20" s="28">
        <v>1</v>
      </c>
      <c r="F20" s="47">
        <v>100</v>
      </c>
      <c r="G20" s="53">
        <v>11603.620329542819</v>
      </c>
      <c r="H20" s="30">
        <f t="shared" si="0"/>
        <v>1856.5792527268511</v>
      </c>
      <c r="I20" s="30">
        <f t="shared" si="1"/>
        <v>13460.19958226967</v>
      </c>
      <c r="J20" s="60">
        <f t="shared" si="2"/>
        <v>1346019.9582269669</v>
      </c>
      <c r="K20" s="53">
        <v>4800</v>
      </c>
      <c r="L20" s="30">
        <f t="shared" si="3"/>
        <v>768</v>
      </c>
      <c r="M20" s="30">
        <f t="shared" si="4"/>
        <v>5568</v>
      </c>
      <c r="N20" s="60">
        <f t="shared" si="5"/>
        <v>556800</v>
      </c>
      <c r="O20" s="53">
        <v>4500</v>
      </c>
      <c r="P20" s="30">
        <f t="shared" si="6"/>
        <v>720</v>
      </c>
      <c r="Q20" s="30">
        <f t="shared" si="7"/>
        <v>5220</v>
      </c>
      <c r="R20" s="60">
        <f t="shared" si="8"/>
        <v>522000</v>
      </c>
      <c r="S20" s="85">
        <f t="shared" si="9"/>
        <v>539400</v>
      </c>
      <c r="T20" s="450"/>
      <c r="U20" s="473"/>
      <c r="V20" s="450"/>
    </row>
    <row r="21" spans="1:22" ht="90.75" thickBot="1" x14ac:dyDescent="0.3">
      <c r="A21" s="530"/>
      <c r="B21" s="533"/>
      <c r="C21" s="533"/>
      <c r="D21" s="35" t="s">
        <v>14</v>
      </c>
      <c r="E21" s="36">
        <v>1</v>
      </c>
      <c r="F21" s="48">
        <v>1</v>
      </c>
      <c r="G21" s="54">
        <v>4641448.1318171266</v>
      </c>
      <c r="H21" s="44">
        <f t="shared" si="0"/>
        <v>742631.70109074027</v>
      </c>
      <c r="I21" s="44">
        <f t="shared" si="1"/>
        <v>5384079.8329078667</v>
      </c>
      <c r="J21" s="61">
        <f t="shared" si="2"/>
        <v>5384079.8329078667</v>
      </c>
      <c r="K21" s="62">
        <v>297400</v>
      </c>
      <c r="L21" s="43">
        <f t="shared" si="3"/>
        <v>47584</v>
      </c>
      <c r="M21" s="43">
        <f t="shared" si="4"/>
        <v>344984</v>
      </c>
      <c r="N21" s="75">
        <f t="shared" si="5"/>
        <v>344984</v>
      </c>
      <c r="O21" s="62">
        <v>850000</v>
      </c>
      <c r="P21" s="43">
        <f t="shared" si="6"/>
        <v>136000</v>
      </c>
      <c r="Q21" s="43">
        <f t="shared" si="7"/>
        <v>986000</v>
      </c>
      <c r="R21" s="75">
        <f t="shared" si="8"/>
        <v>986000</v>
      </c>
      <c r="S21" s="86">
        <f t="shared" si="9"/>
        <v>665492</v>
      </c>
      <c r="T21" s="451"/>
      <c r="U21" s="474"/>
      <c r="V21" s="451"/>
    </row>
    <row r="22" spans="1:22" s="39" customFormat="1" ht="45" customHeight="1" x14ac:dyDescent="0.25">
      <c r="A22" s="534">
        <v>2</v>
      </c>
      <c r="B22" s="535"/>
      <c r="C22" s="535" t="s">
        <v>22</v>
      </c>
      <c r="D22" s="14" t="s">
        <v>3</v>
      </c>
      <c r="E22" s="19">
        <v>1</v>
      </c>
      <c r="F22" s="49">
        <v>1</v>
      </c>
      <c r="G22" s="55">
        <v>5415022.820453315</v>
      </c>
      <c r="H22" s="15">
        <f>+G22*16%</f>
        <v>866403.65127253043</v>
      </c>
      <c r="I22" s="15">
        <f t="shared" si="1"/>
        <v>6281426.4717258457</v>
      </c>
      <c r="J22" s="65">
        <f t="shared" si="2"/>
        <v>6281426.4717258457</v>
      </c>
      <c r="K22" s="58">
        <v>660000</v>
      </c>
      <c r="L22" s="15">
        <f>+K22*16%</f>
        <v>105600</v>
      </c>
      <c r="M22" s="15">
        <f t="shared" si="4"/>
        <v>765600</v>
      </c>
      <c r="N22" s="65">
        <f>+M22*E22*F22</f>
        <v>765600</v>
      </c>
      <c r="O22" s="58">
        <v>500000</v>
      </c>
      <c r="P22" s="15">
        <f>+O22*16%</f>
        <v>80000</v>
      </c>
      <c r="Q22" s="15">
        <f t="shared" si="7"/>
        <v>580000</v>
      </c>
      <c r="R22" s="65">
        <f t="shared" si="8"/>
        <v>580000</v>
      </c>
      <c r="S22" s="83">
        <f t="shared" si="9"/>
        <v>672800</v>
      </c>
      <c r="T22" s="452">
        <f>SUM(S22:S32)</f>
        <v>74522692</v>
      </c>
      <c r="U22" s="475">
        <v>1</v>
      </c>
      <c r="V22" s="452">
        <f>+U22*T22</f>
        <v>74522692</v>
      </c>
    </row>
    <row r="23" spans="1:22" s="39" customFormat="1" ht="90" x14ac:dyDescent="0.25">
      <c r="A23" s="526"/>
      <c r="B23" s="440"/>
      <c r="C23" s="440"/>
      <c r="D23" s="7" t="s">
        <v>20</v>
      </c>
      <c r="E23" s="20">
        <v>5</v>
      </c>
      <c r="F23" s="50">
        <v>7</v>
      </c>
      <c r="G23" s="56">
        <v>1315076.9706815192</v>
      </c>
      <c r="H23" s="10">
        <f>+G23*16%</f>
        <v>210412.31530904307</v>
      </c>
      <c r="I23" s="10">
        <f t="shared" si="1"/>
        <v>1525489.2859905623</v>
      </c>
      <c r="J23" s="66">
        <f t="shared" si="2"/>
        <v>53392125.009669676</v>
      </c>
      <c r="K23" s="56">
        <v>350000</v>
      </c>
      <c r="L23" s="10">
        <f>+K23*16%</f>
        <v>56000</v>
      </c>
      <c r="M23" s="10">
        <f t="shared" si="4"/>
        <v>406000</v>
      </c>
      <c r="N23" s="66">
        <f t="shared" ref="N23:N32" si="10">+M23*E23*F23</f>
        <v>14210000</v>
      </c>
      <c r="O23" s="56">
        <v>250000</v>
      </c>
      <c r="P23" s="10">
        <f>+O23*16%</f>
        <v>40000</v>
      </c>
      <c r="Q23" s="10">
        <f t="shared" si="7"/>
        <v>290000</v>
      </c>
      <c r="R23" s="66">
        <f t="shared" si="8"/>
        <v>10150000</v>
      </c>
      <c r="S23" s="81">
        <f t="shared" si="9"/>
        <v>12180000</v>
      </c>
      <c r="T23" s="443"/>
      <c r="U23" s="444"/>
      <c r="V23" s="443"/>
    </row>
    <row r="24" spans="1:22" s="39" customFormat="1" ht="60" x14ac:dyDescent="0.25">
      <c r="A24" s="526"/>
      <c r="B24" s="440"/>
      <c r="C24" s="440"/>
      <c r="D24" s="3" t="s">
        <v>19</v>
      </c>
      <c r="E24" s="40">
        <v>5</v>
      </c>
      <c r="F24" s="50">
        <v>6</v>
      </c>
      <c r="G24" s="56">
        <v>409994.58497717953</v>
      </c>
      <c r="H24" s="10">
        <f t="shared" ref="H24:H32" si="11">+G24*16%</f>
        <v>65599.133596348722</v>
      </c>
      <c r="I24" s="10">
        <f t="shared" si="1"/>
        <v>475593.71857352823</v>
      </c>
      <c r="J24" s="66">
        <f t="shared" si="2"/>
        <v>14267811.557205845</v>
      </c>
      <c r="K24" s="56">
        <v>230000</v>
      </c>
      <c r="L24" s="10">
        <f t="shared" ref="L24:L32" si="12">+K24*16%</f>
        <v>36800</v>
      </c>
      <c r="M24" s="10">
        <f t="shared" si="4"/>
        <v>266800</v>
      </c>
      <c r="N24" s="66">
        <f t="shared" si="10"/>
        <v>8004000</v>
      </c>
      <c r="O24" s="56">
        <v>220000</v>
      </c>
      <c r="P24" s="10">
        <f t="shared" ref="P24:P32" si="13">+O24*16%</f>
        <v>35200</v>
      </c>
      <c r="Q24" s="10">
        <f t="shared" si="7"/>
        <v>255200</v>
      </c>
      <c r="R24" s="66">
        <f t="shared" si="8"/>
        <v>7656000</v>
      </c>
      <c r="S24" s="81">
        <f t="shared" si="9"/>
        <v>7830000</v>
      </c>
      <c r="T24" s="443"/>
      <c r="U24" s="444"/>
      <c r="V24" s="443"/>
    </row>
    <row r="25" spans="1:22" s="39" customFormat="1" ht="90" x14ac:dyDescent="0.25">
      <c r="A25" s="526"/>
      <c r="B25" s="440"/>
      <c r="C25" s="440"/>
      <c r="D25" s="3" t="s">
        <v>18</v>
      </c>
      <c r="E25" s="40">
        <v>5</v>
      </c>
      <c r="F25" s="50">
        <v>7</v>
      </c>
      <c r="G25" s="56">
        <v>232072.40659085635</v>
      </c>
      <c r="H25" s="10">
        <f t="shared" si="11"/>
        <v>37131.585054537019</v>
      </c>
      <c r="I25" s="10">
        <f t="shared" si="1"/>
        <v>269203.99164539337</v>
      </c>
      <c r="J25" s="66">
        <f t="shared" si="2"/>
        <v>9422139.7075887676</v>
      </c>
      <c r="K25" s="56">
        <v>150000</v>
      </c>
      <c r="L25" s="10">
        <f t="shared" si="12"/>
        <v>24000</v>
      </c>
      <c r="M25" s="10">
        <f t="shared" si="4"/>
        <v>174000</v>
      </c>
      <c r="N25" s="66">
        <f t="shared" si="10"/>
        <v>6090000</v>
      </c>
      <c r="O25" s="56">
        <v>120000</v>
      </c>
      <c r="P25" s="10">
        <f t="shared" si="13"/>
        <v>19200</v>
      </c>
      <c r="Q25" s="10">
        <f t="shared" si="7"/>
        <v>139200</v>
      </c>
      <c r="R25" s="66">
        <f t="shared" si="8"/>
        <v>4872000</v>
      </c>
      <c r="S25" s="81">
        <f t="shared" si="9"/>
        <v>5481000</v>
      </c>
      <c r="T25" s="443"/>
      <c r="U25" s="444"/>
      <c r="V25" s="443"/>
    </row>
    <row r="26" spans="1:22" s="39" customFormat="1" ht="75" x14ac:dyDescent="0.25">
      <c r="A26" s="526"/>
      <c r="B26" s="440"/>
      <c r="C26" s="440"/>
      <c r="D26" s="9" t="s">
        <v>21</v>
      </c>
      <c r="E26" s="20">
        <v>5</v>
      </c>
      <c r="F26" s="50">
        <v>6</v>
      </c>
      <c r="G26" s="56">
        <v>123771.95018179006</v>
      </c>
      <c r="H26" s="10">
        <f t="shared" si="11"/>
        <v>19803.512029086411</v>
      </c>
      <c r="I26" s="10">
        <f t="shared" si="1"/>
        <v>143575.46221087646</v>
      </c>
      <c r="J26" s="66">
        <f t="shared" si="2"/>
        <v>4307263.8663262939</v>
      </c>
      <c r="K26" s="56">
        <v>80000</v>
      </c>
      <c r="L26" s="10">
        <f t="shared" si="12"/>
        <v>12800</v>
      </c>
      <c r="M26" s="10">
        <f t="shared" si="4"/>
        <v>92800</v>
      </c>
      <c r="N26" s="66">
        <f t="shared" si="10"/>
        <v>2784000</v>
      </c>
      <c r="O26" s="56">
        <v>40000</v>
      </c>
      <c r="P26" s="10">
        <f t="shared" si="13"/>
        <v>6400</v>
      </c>
      <c r="Q26" s="10">
        <f t="shared" si="7"/>
        <v>46400</v>
      </c>
      <c r="R26" s="66">
        <f t="shared" si="8"/>
        <v>1392000</v>
      </c>
      <c r="S26" s="81">
        <f t="shared" si="9"/>
        <v>2088000</v>
      </c>
      <c r="T26" s="443"/>
      <c r="U26" s="444"/>
      <c r="V26" s="443"/>
    </row>
    <row r="27" spans="1:22" s="39" customFormat="1" ht="75" x14ac:dyDescent="0.25">
      <c r="A27" s="526"/>
      <c r="B27" s="440"/>
      <c r="C27" s="440"/>
      <c r="D27" s="95" t="s">
        <v>38</v>
      </c>
      <c r="E27" s="20">
        <v>5</v>
      </c>
      <c r="F27" s="50">
        <v>200</v>
      </c>
      <c r="G27" s="56">
        <v>20112.941904540883</v>
      </c>
      <c r="H27" s="10">
        <f t="shared" si="11"/>
        <v>3218.0707047265414</v>
      </c>
      <c r="I27" s="10">
        <f t="shared" si="1"/>
        <v>23331.012609267425</v>
      </c>
      <c r="J27" s="66">
        <f t="shared" si="2"/>
        <v>23331012.609267425</v>
      </c>
      <c r="K27" s="56">
        <v>22000</v>
      </c>
      <c r="L27" s="10">
        <f t="shared" si="12"/>
        <v>3520</v>
      </c>
      <c r="M27" s="10">
        <f t="shared" si="4"/>
        <v>25520</v>
      </c>
      <c r="N27" s="66">
        <f t="shared" si="10"/>
        <v>25520000</v>
      </c>
      <c r="O27" s="56">
        <v>13500</v>
      </c>
      <c r="P27" s="10">
        <f t="shared" si="13"/>
        <v>2160</v>
      </c>
      <c r="Q27" s="10">
        <f t="shared" si="7"/>
        <v>15660</v>
      </c>
      <c r="R27" s="66">
        <f t="shared" si="8"/>
        <v>15660000</v>
      </c>
      <c r="S27" s="81">
        <f t="shared" si="9"/>
        <v>20590000</v>
      </c>
      <c r="T27" s="443"/>
      <c r="U27" s="444"/>
      <c r="V27" s="443"/>
    </row>
    <row r="28" spans="1:22" s="39" customFormat="1" ht="141.75" customHeight="1" x14ac:dyDescent="0.25">
      <c r="A28" s="526"/>
      <c r="B28" s="440"/>
      <c r="C28" s="440"/>
      <c r="D28" s="7" t="s">
        <v>37</v>
      </c>
      <c r="E28" s="20">
        <v>5</v>
      </c>
      <c r="F28" s="50">
        <v>100</v>
      </c>
      <c r="G28" s="56">
        <v>92828.962636342549</v>
      </c>
      <c r="H28" s="10">
        <f t="shared" si="11"/>
        <v>14852.634021814809</v>
      </c>
      <c r="I28" s="10">
        <f t="shared" si="1"/>
        <v>107681.59665815736</v>
      </c>
      <c r="J28" s="66">
        <f t="shared" si="2"/>
        <v>53840798.329078674</v>
      </c>
      <c r="K28" s="56">
        <v>48000</v>
      </c>
      <c r="L28" s="10">
        <f t="shared" si="12"/>
        <v>7680</v>
      </c>
      <c r="M28" s="10">
        <f t="shared" si="4"/>
        <v>55680</v>
      </c>
      <c r="N28" s="66">
        <f t="shared" si="10"/>
        <v>27840000</v>
      </c>
      <c r="O28" s="56">
        <v>35000</v>
      </c>
      <c r="P28" s="10">
        <f t="shared" si="13"/>
        <v>5600</v>
      </c>
      <c r="Q28" s="10">
        <f t="shared" si="7"/>
        <v>40600</v>
      </c>
      <c r="R28" s="66">
        <f t="shared" si="8"/>
        <v>20300000</v>
      </c>
      <c r="S28" s="81">
        <f t="shared" si="9"/>
        <v>24070000</v>
      </c>
      <c r="T28" s="443"/>
      <c r="U28" s="444"/>
      <c r="V28" s="443"/>
    </row>
    <row r="29" spans="1:22" s="39" customFormat="1" ht="30" x14ac:dyDescent="0.25">
      <c r="A29" s="526"/>
      <c r="B29" s="440"/>
      <c r="C29" s="440"/>
      <c r="D29" s="96" t="s">
        <v>4</v>
      </c>
      <c r="E29" s="40">
        <v>1</v>
      </c>
      <c r="F29" s="50">
        <v>1</v>
      </c>
      <c r="G29" s="56">
        <v>541502.28204533155</v>
      </c>
      <c r="H29" s="10">
        <f t="shared" si="11"/>
        <v>86640.365127253055</v>
      </c>
      <c r="I29" s="10">
        <f t="shared" si="1"/>
        <v>628142.64717258466</v>
      </c>
      <c r="J29" s="66">
        <f t="shared" si="2"/>
        <v>628142.64717258466</v>
      </c>
      <c r="K29" s="56">
        <v>300000</v>
      </c>
      <c r="L29" s="10">
        <f t="shared" si="12"/>
        <v>48000</v>
      </c>
      <c r="M29" s="10">
        <f t="shared" si="4"/>
        <v>348000</v>
      </c>
      <c r="N29" s="66">
        <f t="shared" si="10"/>
        <v>348000</v>
      </c>
      <c r="O29" s="56">
        <v>250000</v>
      </c>
      <c r="P29" s="10">
        <f t="shared" si="13"/>
        <v>40000</v>
      </c>
      <c r="Q29" s="10">
        <f t="shared" si="7"/>
        <v>290000</v>
      </c>
      <c r="R29" s="66">
        <f t="shared" si="8"/>
        <v>290000</v>
      </c>
      <c r="S29" s="81">
        <f t="shared" si="9"/>
        <v>319000</v>
      </c>
      <c r="T29" s="443"/>
      <c r="U29" s="444"/>
      <c r="V29" s="443"/>
    </row>
    <row r="30" spans="1:22" s="39" customFormat="1" x14ac:dyDescent="0.25">
      <c r="A30" s="526"/>
      <c r="B30" s="440"/>
      <c r="C30" s="440"/>
      <c r="D30" s="9" t="s">
        <v>5</v>
      </c>
      <c r="E30" s="20">
        <v>1</v>
      </c>
      <c r="F30" s="50">
        <v>1</v>
      </c>
      <c r="G30" s="56">
        <v>116036.20329542817</v>
      </c>
      <c r="H30" s="10">
        <f t="shared" si="11"/>
        <v>18565.79252726851</v>
      </c>
      <c r="I30" s="10">
        <f t="shared" si="1"/>
        <v>134601.99582269668</v>
      </c>
      <c r="J30" s="66">
        <f t="shared" si="2"/>
        <v>134601.99582269668</v>
      </c>
      <c r="K30" s="56">
        <v>80000</v>
      </c>
      <c r="L30" s="10">
        <f t="shared" si="12"/>
        <v>12800</v>
      </c>
      <c r="M30" s="10">
        <f t="shared" si="4"/>
        <v>92800</v>
      </c>
      <c r="N30" s="66">
        <f t="shared" si="10"/>
        <v>92800</v>
      </c>
      <c r="O30" s="56">
        <v>70000</v>
      </c>
      <c r="P30" s="10">
        <f t="shared" si="13"/>
        <v>11200</v>
      </c>
      <c r="Q30" s="10">
        <f t="shared" si="7"/>
        <v>81200</v>
      </c>
      <c r="R30" s="66">
        <f t="shared" si="8"/>
        <v>81200</v>
      </c>
      <c r="S30" s="81">
        <f t="shared" si="9"/>
        <v>87000</v>
      </c>
      <c r="T30" s="443"/>
      <c r="U30" s="444"/>
      <c r="V30" s="443"/>
    </row>
    <row r="31" spans="1:22" s="39" customFormat="1" ht="90" x14ac:dyDescent="0.25">
      <c r="A31" s="526"/>
      <c r="B31" s="440"/>
      <c r="C31" s="440"/>
      <c r="D31" s="9" t="s">
        <v>6</v>
      </c>
      <c r="E31" s="20">
        <v>1</v>
      </c>
      <c r="F31" s="50">
        <v>100</v>
      </c>
      <c r="G31" s="56">
        <v>11603.620329542819</v>
      </c>
      <c r="H31" s="10">
        <f t="shared" si="11"/>
        <v>1856.5792527268511</v>
      </c>
      <c r="I31" s="10">
        <f t="shared" si="1"/>
        <v>13460.19958226967</v>
      </c>
      <c r="J31" s="66">
        <f t="shared" si="2"/>
        <v>1346019.9582269669</v>
      </c>
      <c r="K31" s="56">
        <v>4800</v>
      </c>
      <c r="L31" s="10">
        <f t="shared" si="12"/>
        <v>768</v>
      </c>
      <c r="M31" s="10">
        <f t="shared" si="4"/>
        <v>5568</v>
      </c>
      <c r="N31" s="66">
        <f t="shared" si="10"/>
        <v>556800</v>
      </c>
      <c r="O31" s="56">
        <v>4500</v>
      </c>
      <c r="P31" s="10">
        <f t="shared" si="13"/>
        <v>720</v>
      </c>
      <c r="Q31" s="10">
        <f t="shared" si="7"/>
        <v>5220</v>
      </c>
      <c r="R31" s="66">
        <f t="shared" si="8"/>
        <v>522000</v>
      </c>
      <c r="S31" s="81">
        <f t="shared" si="9"/>
        <v>539400</v>
      </c>
      <c r="T31" s="443"/>
      <c r="U31" s="444"/>
      <c r="V31" s="443"/>
    </row>
    <row r="32" spans="1:22" s="39" customFormat="1" ht="90.75" thickBot="1" x14ac:dyDescent="0.3">
      <c r="A32" s="527"/>
      <c r="B32" s="441"/>
      <c r="C32" s="441"/>
      <c r="D32" s="16" t="s">
        <v>14</v>
      </c>
      <c r="E32" s="21">
        <v>1</v>
      </c>
      <c r="F32" s="51">
        <v>1</v>
      </c>
      <c r="G32" s="57">
        <v>4641448.1318171266</v>
      </c>
      <c r="H32" s="11">
        <f t="shared" si="11"/>
        <v>742631.70109074027</v>
      </c>
      <c r="I32" s="11">
        <f t="shared" si="1"/>
        <v>5384079.8329078667</v>
      </c>
      <c r="J32" s="67">
        <f t="shared" si="2"/>
        <v>5384079.8329078667</v>
      </c>
      <c r="K32" s="57">
        <v>297400</v>
      </c>
      <c r="L32" s="11">
        <f t="shared" si="12"/>
        <v>47584</v>
      </c>
      <c r="M32" s="11">
        <f t="shared" si="4"/>
        <v>344984</v>
      </c>
      <c r="N32" s="67">
        <f t="shared" si="10"/>
        <v>344984</v>
      </c>
      <c r="O32" s="69">
        <v>850000</v>
      </c>
      <c r="P32" s="17">
        <f t="shared" si="13"/>
        <v>136000</v>
      </c>
      <c r="Q32" s="17">
        <f t="shared" si="7"/>
        <v>986000</v>
      </c>
      <c r="R32" s="77">
        <f t="shared" si="8"/>
        <v>986000</v>
      </c>
      <c r="S32" s="82">
        <f t="shared" si="9"/>
        <v>665492</v>
      </c>
      <c r="T32" s="453"/>
      <c r="U32" s="476"/>
      <c r="V32" s="453"/>
    </row>
    <row r="33" spans="1:22" ht="63.75" customHeight="1" x14ac:dyDescent="0.25">
      <c r="A33" s="519">
        <v>3</v>
      </c>
      <c r="B33" s="515" t="s">
        <v>25</v>
      </c>
      <c r="C33" s="515" t="s">
        <v>23</v>
      </c>
      <c r="D33" s="106" t="s">
        <v>15</v>
      </c>
      <c r="E33" s="25">
        <v>1</v>
      </c>
      <c r="F33" s="46">
        <v>1</v>
      </c>
      <c r="G33" s="52">
        <v>1441943.2196178541</v>
      </c>
      <c r="H33" s="42">
        <f>+G33*16%</f>
        <v>230710.91513885665</v>
      </c>
      <c r="I33" s="42">
        <f t="shared" si="1"/>
        <v>1672654.1347567108</v>
      </c>
      <c r="J33" s="59">
        <f t="shared" si="2"/>
        <v>1672654.1347567108</v>
      </c>
      <c r="K33" s="52">
        <v>550000</v>
      </c>
      <c r="L33" s="26">
        <f>+K33*16%</f>
        <v>88000</v>
      </c>
      <c r="M33" s="26">
        <f t="shared" si="4"/>
        <v>638000</v>
      </c>
      <c r="N33" s="63">
        <f>+M33*F33*E33</f>
        <v>638000</v>
      </c>
      <c r="O33" s="52">
        <v>350000</v>
      </c>
      <c r="P33" s="26">
        <f>+O33*16%</f>
        <v>56000</v>
      </c>
      <c r="Q33" s="26">
        <f t="shared" si="7"/>
        <v>406000</v>
      </c>
      <c r="R33" s="63">
        <f t="shared" si="8"/>
        <v>406000</v>
      </c>
      <c r="S33" s="84">
        <f t="shared" si="9"/>
        <v>522000</v>
      </c>
      <c r="T33" s="477">
        <f>SUM(S33:S37)</f>
        <v>3913840</v>
      </c>
      <c r="U33" s="480">
        <v>1</v>
      </c>
      <c r="V33" s="477">
        <f>+U33*T33</f>
        <v>3913840</v>
      </c>
    </row>
    <row r="34" spans="1:22" ht="63.75" customHeight="1" x14ac:dyDescent="0.25">
      <c r="A34" s="520"/>
      <c r="B34" s="516"/>
      <c r="C34" s="516"/>
      <c r="D34" s="32" t="s">
        <v>10</v>
      </c>
      <c r="E34" s="28">
        <v>1</v>
      </c>
      <c r="F34" s="107">
        <v>1</v>
      </c>
      <c r="G34" s="108">
        <v>232072.40659085635</v>
      </c>
      <c r="H34" s="30">
        <f t="shared" ref="H34:H37" si="14">+G34*16%</f>
        <v>37131.585054537019</v>
      </c>
      <c r="I34" s="30">
        <f t="shared" si="1"/>
        <v>269203.99164539337</v>
      </c>
      <c r="J34" s="60">
        <f t="shared" si="2"/>
        <v>269203.99164539337</v>
      </c>
      <c r="K34" s="53">
        <v>150000</v>
      </c>
      <c r="L34" s="30">
        <f t="shared" ref="L34:L37" si="15">+K34*16%</f>
        <v>24000</v>
      </c>
      <c r="M34" s="30">
        <f t="shared" si="4"/>
        <v>174000</v>
      </c>
      <c r="N34" s="60">
        <f t="shared" ref="N34:N37" si="16">+M34*F34*E34</f>
        <v>174000</v>
      </c>
      <c r="O34" s="53">
        <v>120000</v>
      </c>
      <c r="P34" s="30">
        <f t="shared" ref="P34:P37" si="17">+O34*16%</f>
        <v>19200</v>
      </c>
      <c r="Q34" s="30">
        <f t="shared" si="7"/>
        <v>139200</v>
      </c>
      <c r="R34" s="60">
        <f t="shared" si="8"/>
        <v>139200</v>
      </c>
      <c r="S34" s="85">
        <f t="shared" si="9"/>
        <v>156600</v>
      </c>
      <c r="T34" s="478"/>
      <c r="U34" s="481"/>
      <c r="V34" s="478"/>
    </row>
    <row r="35" spans="1:22" ht="98.25" customHeight="1" x14ac:dyDescent="0.25">
      <c r="A35" s="520"/>
      <c r="B35" s="517"/>
      <c r="C35" s="517"/>
      <c r="D35" s="32" t="s">
        <v>9</v>
      </c>
      <c r="E35" s="28">
        <v>1</v>
      </c>
      <c r="F35" s="47">
        <v>40</v>
      </c>
      <c r="G35" s="53">
        <v>23207.240659085637</v>
      </c>
      <c r="H35" s="30">
        <f t="shared" si="14"/>
        <v>3713.1585054537022</v>
      </c>
      <c r="I35" s="30">
        <f t="shared" si="1"/>
        <v>26920.39916453934</v>
      </c>
      <c r="J35" s="60">
        <f t="shared" si="2"/>
        <v>1076815.9665815737</v>
      </c>
      <c r="K35" s="53">
        <v>22000</v>
      </c>
      <c r="L35" s="30">
        <f t="shared" si="15"/>
        <v>3520</v>
      </c>
      <c r="M35" s="30">
        <f t="shared" si="4"/>
        <v>25520</v>
      </c>
      <c r="N35" s="60">
        <f t="shared" si="16"/>
        <v>1020800</v>
      </c>
      <c r="O35" s="53">
        <v>8200</v>
      </c>
      <c r="P35" s="30">
        <f t="shared" si="17"/>
        <v>1312</v>
      </c>
      <c r="Q35" s="30">
        <f t="shared" si="7"/>
        <v>9512</v>
      </c>
      <c r="R35" s="60">
        <f t="shared" si="8"/>
        <v>380480</v>
      </c>
      <c r="S35" s="85">
        <f t="shared" si="9"/>
        <v>700640</v>
      </c>
      <c r="T35" s="478"/>
      <c r="U35" s="481"/>
      <c r="V35" s="478"/>
    </row>
    <row r="36" spans="1:22" ht="135" x14ac:dyDescent="0.25">
      <c r="A36" s="520"/>
      <c r="B36" s="517"/>
      <c r="C36" s="517"/>
      <c r="D36" s="27" t="s">
        <v>7</v>
      </c>
      <c r="E36" s="28">
        <v>1</v>
      </c>
      <c r="F36" s="47">
        <v>40</v>
      </c>
      <c r="G36" s="53">
        <v>77357.468863618778</v>
      </c>
      <c r="H36" s="30">
        <f t="shared" si="14"/>
        <v>12377.195018179005</v>
      </c>
      <c r="I36" s="30">
        <f t="shared" si="1"/>
        <v>89734.66388179778</v>
      </c>
      <c r="J36" s="60">
        <f t="shared" si="2"/>
        <v>3589386.5552719114</v>
      </c>
      <c r="K36" s="53">
        <v>48000</v>
      </c>
      <c r="L36" s="30">
        <f t="shared" si="15"/>
        <v>7680</v>
      </c>
      <c r="M36" s="30">
        <f t="shared" si="4"/>
        <v>55680</v>
      </c>
      <c r="N36" s="60">
        <f t="shared" si="16"/>
        <v>2227200</v>
      </c>
      <c r="O36" s="53">
        <v>32000</v>
      </c>
      <c r="P36" s="30">
        <f t="shared" si="17"/>
        <v>5120</v>
      </c>
      <c r="Q36" s="30">
        <f t="shared" si="7"/>
        <v>37120</v>
      </c>
      <c r="R36" s="60">
        <f t="shared" si="8"/>
        <v>1484800</v>
      </c>
      <c r="S36" s="85">
        <f t="shared" si="9"/>
        <v>1856000</v>
      </c>
      <c r="T36" s="478"/>
      <c r="U36" s="481"/>
      <c r="V36" s="478"/>
    </row>
    <row r="37" spans="1:22" ht="75.75" thickBot="1" x14ac:dyDescent="0.3">
      <c r="A37" s="521"/>
      <c r="B37" s="518"/>
      <c r="C37" s="518"/>
      <c r="D37" s="35" t="s">
        <v>16</v>
      </c>
      <c r="E37" s="36">
        <v>1</v>
      </c>
      <c r="F37" s="48">
        <v>1</v>
      </c>
      <c r="G37" s="54">
        <v>1547149.3772723756</v>
      </c>
      <c r="H37" s="44">
        <f t="shared" si="14"/>
        <v>247543.90036358009</v>
      </c>
      <c r="I37" s="44">
        <f t="shared" si="1"/>
        <v>1794693.2776359557</v>
      </c>
      <c r="J37" s="61">
        <f t="shared" si="2"/>
        <v>1794693.2776359557</v>
      </c>
      <c r="K37" s="54">
        <v>320000</v>
      </c>
      <c r="L37" s="38">
        <f t="shared" si="15"/>
        <v>51200</v>
      </c>
      <c r="M37" s="38">
        <f t="shared" si="4"/>
        <v>371200</v>
      </c>
      <c r="N37" s="64">
        <f t="shared" si="16"/>
        <v>371200</v>
      </c>
      <c r="O37" s="54">
        <v>850000</v>
      </c>
      <c r="P37" s="38">
        <f t="shared" si="17"/>
        <v>136000</v>
      </c>
      <c r="Q37" s="38">
        <f t="shared" si="7"/>
        <v>986000</v>
      </c>
      <c r="R37" s="64">
        <f t="shared" si="8"/>
        <v>986000</v>
      </c>
      <c r="S37" s="86">
        <f t="shared" si="9"/>
        <v>678600</v>
      </c>
      <c r="T37" s="479"/>
      <c r="U37" s="482"/>
      <c r="V37" s="479"/>
    </row>
    <row r="38" spans="1:22" ht="45" customHeight="1" x14ac:dyDescent="0.25">
      <c r="A38" s="525">
        <v>4</v>
      </c>
      <c r="B38" s="439"/>
      <c r="C38" s="439" t="s">
        <v>35</v>
      </c>
      <c r="D38" s="109" t="s">
        <v>46</v>
      </c>
      <c r="E38" s="110">
        <v>0.5</v>
      </c>
      <c r="F38" s="111">
        <v>1</v>
      </c>
      <c r="G38" s="97">
        <v>2320724.0659085633</v>
      </c>
      <c r="H38" s="112">
        <f>+G38*16%</f>
        <v>371315.85054537014</v>
      </c>
      <c r="I38" s="112">
        <f t="shared" si="1"/>
        <v>2692039.9164539333</v>
      </c>
      <c r="J38" s="113">
        <f t="shared" si="2"/>
        <v>1346019.9582269667</v>
      </c>
      <c r="K38" s="97">
        <v>550000</v>
      </c>
      <c r="L38" s="112">
        <f>+K38*16%</f>
        <v>88000</v>
      </c>
      <c r="M38" s="112">
        <f t="shared" si="4"/>
        <v>638000</v>
      </c>
      <c r="N38" s="114">
        <f>+M38*E38*F38</f>
        <v>319000</v>
      </c>
      <c r="O38" s="97">
        <f>4500000*2</f>
        <v>9000000</v>
      </c>
      <c r="P38" s="112">
        <f>+O38*16%</f>
        <v>1440000</v>
      </c>
      <c r="Q38" s="112">
        <f t="shared" si="7"/>
        <v>10440000</v>
      </c>
      <c r="R38" s="114">
        <f t="shared" si="8"/>
        <v>5220000</v>
      </c>
      <c r="S38" s="115">
        <f t="shared" si="9"/>
        <v>2769500</v>
      </c>
      <c r="T38" s="442">
        <f>SUM(S38:S44)</f>
        <v>4779200</v>
      </c>
      <c r="U38" s="444">
        <v>1</v>
      </c>
      <c r="V38" s="442">
        <f>+U38*T38</f>
        <v>4779200</v>
      </c>
    </row>
    <row r="39" spans="1:22" ht="45" x14ac:dyDescent="0.25">
      <c r="A39" s="526"/>
      <c r="B39" s="440"/>
      <c r="C39" s="440"/>
      <c r="D39" s="3" t="s">
        <v>47</v>
      </c>
      <c r="E39" s="40">
        <v>0.5</v>
      </c>
      <c r="F39" s="50">
        <v>1</v>
      </c>
      <c r="G39" s="56">
        <v>448673.31940898893</v>
      </c>
      <c r="H39" s="10">
        <f>+G39*16%</f>
        <v>71787.73110543823</v>
      </c>
      <c r="I39" s="10">
        <f t="shared" si="1"/>
        <v>520461.05051442713</v>
      </c>
      <c r="J39" s="116">
        <f t="shared" si="2"/>
        <v>260230.52525721357</v>
      </c>
      <c r="K39" s="117">
        <v>230000</v>
      </c>
      <c r="L39" s="10">
        <f>+K39*16%</f>
        <v>36800</v>
      </c>
      <c r="M39" s="10">
        <f t="shared" si="4"/>
        <v>266800</v>
      </c>
      <c r="N39" s="114">
        <f t="shared" ref="N39:N44" si="18">+M39*E39*F39</f>
        <v>133400</v>
      </c>
      <c r="O39" s="56">
        <f>220000*2</f>
        <v>440000</v>
      </c>
      <c r="P39" s="10">
        <f>+O39*16%</f>
        <v>70400</v>
      </c>
      <c r="Q39" s="10">
        <f t="shared" si="7"/>
        <v>510400</v>
      </c>
      <c r="R39" s="66">
        <f t="shared" si="8"/>
        <v>255200</v>
      </c>
      <c r="S39" s="81">
        <f t="shared" si="9"/>
        <v>194300</v>
      </c>
      <c r="T39" s="443"/>
      <c r="U39" s="444"/>
      <c r="V39" s="443"/>
    </row>
    <row r="40" spans="1:22" ht="60" x14ac:dyDescent="0.25">
      <c r="A40" s="526"/>
      <c r="B40" s="440"/>
      <c r="C40" s="440"/>
      <c r="D40" s="3" t="s">
        <v>48</v>
      </c>
      <c r="E40" s="40">
        <v>0.5</v>
      </c>
      <c r="F40" s="50">
        <v>1</v>
      </c>
      <c r="G40" s="56">
        <v>232072.40659085635</v>
      </c>
      <c r="H40" s="10">
        <f t="shared" ref="H40:H44" si="19">+G40*16%</f>
        <v>37131.585054537019</v>
      </c>
      <c r="I40" s="10">
        <f t="shared" si="1"/>
        <v>269203.99164539337</v>
      </c>
      <c r="J40" s="116">
        <f t="shared" si="2"/>
        <v>134601.99582269668</v>
      </c>
      <c r="K40" s="117">
        <v>150000</v>
      </c>
      <c r="L40" s="10">
        <f t="shared" ref="L40:L44" si="20">+K40*16%</f>
        <v>24000</v>
      </c>
      <c r="M40" s="10">
        <f t="shared" si="4"/>
        <v>174000</v>
      </c>
      <c r="N40" s="114">
        <f t="shared" si="18"/>
        <v>87000</v>
      </c>
      <c r="O40" s="56">
        <f>120000*2</f>
        <v>240000</v>
      </c>
      <c r="P40" s="10">
        <f t="shared" ref="P40:P44" si="21">+O40*16%</f>
        <v>38400</v>
      </c>
      <c r="Q40" s="10">
        <f t="shared" si="7"/>
        <v>278400</v>
      </c>
      <c r="R40" s="66">
        <f t="shared" si="8"/>
        <v>139200</v>
      </c>
      <c r="S40" s="81">
        <f t="shared" si="9"/>
        <v>113100</v>
      </c>
      <c r="T40" s="443"/>
      <c r="U40" s="444"/>
      <c r="V40" s="443"/>
    </row>
    <row r="41" spans="1:22" ht="30" x14ac:dyDescent="0.25">
      <c r="A41" s="526"/>
      <c r="B41" s="440"/>
      <c r="C41" s="440"/>
      <c r="D41" s="3" t="s">
        <v>49</v>
      </c>
      <c r="E41" s="40">
        <v>0.5</v>
      </c>
      <c r="F41" s="50">
        <v>1</v>
      </c>
      <c r="G41" s="56">
        <v>541502.28204533155</v>
      </c>
      <c r="H41" s="10">
        <f t="shared" si="19"/>
        <v>86640.365127253055</v>
      </c>
      <c r="I41" s="10">
        <f t="shared" si="1"/>
        <v>628142.64717258466</v>
      </c>
      <c r="J41" s="116">
        <f t="shared" si="2"/>
        <v>314071.32358629233</v>
      </c>
      <c r="K41" s="117">
        <v>300000</v>
      </c>
      <c r="L41" s="10">
        <f t="shared" si="20"/>
        <v>48000</v>
      </c>
      <c r="M41" s="10">
        <f t="shared" si="4"/>
        <v>348000</v>
      </c>
      <c r="N41" s="114">
        <f t="shared" si="18"/>
        <v>174000</v>
      </c>
      <c r="O41" s="56">
        <f>350000*2</f>
        <v>700000</v>
      </c>
      <c r="P41" s="10">
        <f t="shared" si="21"/>
        <v>112000</v>
      </c>
      <c r="Q41" s="10">
        <f t="shared" si="7"/>
        <v>812000</v>
      </c>
      <c r="R41" s="66">
        <f t="shared" si="8"/>
        <v>406000</v>
      </c>
      <c r="S41" s="81">
        <f t="shared" si="9"/>
        <v>290000</v>
      </c>
      <c r="T41" s="443"/>
      <c r="U41" s="444"/>
      <c r="V41" s="443"/>
    </row>
    <row r="42" spans="1:22" ht="15" customHeight="1" x14ac:dyDescent="0.25">
      <c r="A42" s="526"/>
      <c r="B42" s="440"/>
      <c r="C42" s="440"/>
      <c r="D42" s="9" t="s">
        <v>50</v>
      </c>
      <c r="E42" s="20">
        <v>0.5</v>
      </c>
      <c r="F42" s="50">
        <v>1</v>
      </c>
      <c r="G42" s="56">
        <v>116036.20329542817</v>
      </c>
      <c r="H42" s="10">
        <f t="shared" si="19"/>
        <v>18565.79252726851</v>
      </c>
      <c r="I42" s="10">
        <f t="shared" si="1"/>
        <v>134601.99582269668</v>
      </c>
      <c r="J42" s="116">
        <f t="shared" si="2"/>
        <v>67300.997911348342</v>
      </c>
      <c r="K42" s="117">
        <v>80000</v>
      </c>
      <c r="L42" s="10">
        <f t="shared" si="20"/>
        <v>12800</v>
      </c>
      <c r="M42" s="10">
        <f t="shared" si="4"/>
        <v>92800</v>
      </c>
      <c r="N42" s="114">
        <f t="shared" si="18"/>
        <v>46400</v>
      </c>
      <c r="O42" s="56">
        <f>70000*2</f>
        <v>140000</v>
      </c>
      <c r="P42" s="10">
        <f t="shared" si="21"/>
        <v>22400</v>
      </c>
      <c r="Q42" s="10">
        <f t="shared" si="7"/>
        <v>162400</v>
      </c>
      <c r="R42" s="66">
        <f t="shared" si="8"/>
        <v>81200</v>
      </c>
      <c r="S42" s="81">
        <f t="shared" si="9"/>
        <v>63800</v>
      </c>
      <c r="T42" s="443"/>
      <c r="U42" s="444"/>
      <c r="V42" s="443"/>
    </row>
    <row r="43" spans="1:22" ht="75" x14ac:dyDescent="0.25">
      <c r="A43" s="526"/>
      <c r="B43" s="440"/>
      <c r="C43" s="440"/>
      <c r="D43" s="9" t="s">
        <v>51</v>
      </c>
      <c r="E43" s="20">
        <v>0.5</v>
      </c>
      <c r="F43" s="50">
        <v>200</v>
      </c>
      <c r="G43" s="56">
        <v>10675.330703179392</v>
      </c>
      <c r="H43" s="10">
        <f t="shared" si="19"/>
        <v>1708.0529125087028</v>
      </c>
      <c r="I43" s="10">
        <f t="shared" si="1"/>
        <v>12383.383615688095</v>
      </c>
      <c r="J43" s="116">
        <f t="shared" si="2"/>
        <v>1238338.3615688095</v>
      </c>
      <c r="K43" s="117">
        <v>4300</v>
      </c>
      <c r="L43" s="10">
        <f t="shared" si="20"/>
        <v>688</v>
      </c>
      <c r="M43" s="10">
        <f t="shared" si="4"/>
        <v>4988</v>
      </c>
      <c r="N43" s="114">
        <f t="shared" si="18"/>
        <v>498800</v>
      </c>
      <c r="O43" s="56">
        <f>4500*2</f>
        <v>9000</v>
      </c>
      <c r="P43" s="10">
        <f t="shared" si="21"/>
        <v>1440</v>
      </c>
      <c r="Q43" s="10">
        <f t="shared" si="7"/>
        <v>10440</v>
      </c>
      <c r="R43" s="66">
        <f t="shared" si="8"/>
        <v>1044000</v>
      </c>
      <c r="S43" s="81">
        <f t="shared" si="9"/>
        <v>771400</v>
      </c>
      <c r="T43" s="443"/>
      <c r="U43" s="444"/>
      <c r="V43" s="443"/>
    </row>
    <row r="44" spans="1:22" ht="75.75" thickBot="1" x14ac:dyDescent="0.3">
      <c r="A44" s="527"/>
      <c r="B44" s="441"/>
      <c r="C44" s="441"/>
      <c r="D44" s="16" t="s">
        <v>52</v>
      </c>
      <c r="E44" s="21">
        <v>0.5</v>
      </c>
      <c r="F44" s="51">
        <v>1</v>
      </c>
      <c r="G44" s="57">
        <v>1547149.3772723756</v>
      </c>
      <c r="H44" s="11">
        <f t="shared" si="19"/>
        <v>247543.90036358009</v>
      </c>
      <c r="I44" s="11">
        <f t="shared" si="1"/>
        <v>1794693.2776359557</v>
      </c>
      <c r="J44" s="118">
        <f t="shared" si="2"/>
        <v>897346.63881797786</v>
      </c>
      <c r="K44" s="119">
        <v>290000</v>
      </c>
      <c r="L44" s="17">
        <f t="shared" si="20"/>
        <v>46400</v>
      </c>
      <c r="M44" s="17">
        <f t="shared" si="4"/>
        <v>336400</v>
      </c>
      <c r="N44" s="105">
        <f t="shared" si="18"/>
        <v>168200</v>
      </c>
      <c r="O44" s="69">
        <f>850000*2</f>
        <v>1700000</v>
      </c>
      <c r="P44" s="17">
        <f t="shared" si="21"/>
        <v>272000</v>
      </c>
      <c r="Q44" s="17">
        <f t="shared" si="7"/>
        <v>1972000</v>
      </c>
      <c r="R44" s="77">
        <f t="shared" si="8"/>
        <v>986000</v>
      </c>
      <c r="S44" s="82">
        <f t="shared" si="9"/>
        <v>577100</v>
      </c>
      <c r="T44" s="443"/>
      <c r="U44" s="444"/>
      <c r="V44" s="443"/>
    </row>
    <row r="45" spans="1:22" ht="45" x14ac:dyDescent="0.25">
      <c r="A45" s="490">
        <v>5</v>
      </c>
      <c r="B45" s="493" t="s">
        <v>26</v>
      </c>
      <c r="C45" s="496" t="s">
        <v>35</v>
      </c>
      <c r="D45" s="98" t="s">
        <v>27</v>
      </c>
      <c r="E45" s="25">
        <v>1</v>
      </c>
      <c r="F45" s="46">
        <v>100</v>
      </c>
      <c r="G45" s="52">
        <v>12377.195018179005</v>
      </c>
      <c r="H45" s="26">
        <f>+G45*16%</f>
        <v>1980.351202908641</v>
      </c>
      <c r="I45" s="26">
        <f t="shared" si="1"/>
        <v>14357.546221087647</v>
      </c>
      <c r="J45" s="63">
        <f t="shared" si="2"/>
        <v>1435754.6221087647</v>
      </c>
      <c r="K45" s="52">
        <v>5000</v>
      </c>
      <c r="L45" s="26">
        <f>+K45*16%</f>
        <v>800</v>
      </c>
      <c r="M45" s="26">
        <f t="shared" si="4"/>
        <v>5800</v>
      </c>
      <c r="N45" s="63">
        <f>+M45*F45*E45</f>
        <v>580000</v>
      </c>
      <c r="O45" s="52">
        <v>4200</v>
      </c>
      <c r="P45" s="26">
        <f>+O45*16%</f>
        <v>672</v>
      </c>
      <c r="Q45" s="26">
        <f t="shared" si="7"/>
        <v>4872</v>
      </c>
      <c r="R45" s="63">
        <f t="shared" si="8"/>
        <v>487200</v>
      </c>
      <c r="S45" s="84">
        <f t="shared" si="9"/>
        <v>533600</v>
      </c>
      <c r="T45" s="477">
        <f>SUM(S45:S52)</f>
        <v>5789560</v>
      </c>
      <c r="U45" s="480">
        <v>1</v>
      </c>
      <c r="V45" s="477">
        <f>+U45*T45</f>
        <v>5789560</v>
      </c>
    </row>
    <row r="46" spans="1:22" ht="18" customHeight="1" x14ac:dyDescent="0.25">
      <c r="A46" s="491"/>
      <c r="B46" s="494"/>
      <c r="C46" s="497"/>
      <c r="D46" s="99" t="s">
        <v>28</v>
      </c>
      <c r="E46" s="29">
        <v>1</v>
      </c>
      <c r="F46" s="47">
        <v>1</v>
      </c>
      <c r="G46" s="53">
        <v>340372.86299992265</v>
      </c>
      <c r="H46" s="37">
        <f t="shared" ref="H46:H52" si="22">+G46*16%</f>
        <v>54459.658079987625</v>
      </c>
      <c r="I46" s="37">
        <f t="shared" si="1"/>
        <v>394832.52107991028</v>
      </c>
      <c r="J46" s="76">
        <f t="shared" si="2"/>
        <v>394832.52107991028</v>
      </c>
      <c r="K46" s="53">
        <v>300000</v>
      </c>
      <c r="L46" s="30">
        <f t="shared" ref="L46:L52" si="23">+K46*16%</f>
        <v>48000</v>
      </c>
      <c r="M46" s="30">
        <f t="shared" si="4"/>
        <v>348000</v>
      </c>
      <c r="N46" s="60">
        <f t="shared" ref="N46:N52" si="24">+M46*F46*E46</f>
        <v>348000</v>
      </c>
      <c r="O46" s="53">
        <v>420000</v>
      </c>
      <c r="P46" s="30">
        <f t="shared" ref="P46:P52" si="25">+O46*16%</f>
        <v>67200</v>
      </c>
      <c r="Q46" s="30">
        <f t="shared" si="7"/>
        <v>487200</v>
      </c>
      <c r="R46" s="60">
        <f t="shared" si="8"/>
        <v>487200</v>
      </c>
      <c r="S46" s="85">
        <f t="shared" si="9"/>
        <v>417600</v>
      </c>
      <c r="T46" s="478"/>
      <c r="U46" s="481"/>
      <c r="V46" s="478"/>
    </row>
    <row r="47" spans="1:22" x14ac:dyDescent="0.25">
      <c r="A47" s="491"/>
      <c r="B47" s="494"/>
      <c r="C47" s="497"/>
      <c r="D47" s="100" t="s">
        <v>29</v>
      </c>
      <c r="E47" s="101">
        <v>1</v>
      </c>
      <c r="F47" s="47">
        <v>1</v>
      </c>
      <c r="G47" s="53">
        <v>116036.20329542817</v>
      </c>
      <c r="H47" s="37">
        <f t="shared" si="22"/>
        <v>18565.79252726851</v>
      </c>
      <c r="I47" s="37">
        <f t="shared" si="1"/>
        <v>134601.99582269668</v>
      </c>
      <c r="J47" s="76">
        <f t="shared" si="2"/>
        <v>134601.99582269668</v>
      </c>
      <c r="K47" s="53">
        <v>80000</v>
      </c>
      <c r="L47" s="30">
        <f t="shared" si="23"/>
        <v>12800</v>
      </c>
      <c r="M47" s="30">
        <f t="shared" si="4"/>
        <v>92800</v>
      </c>
      <c r="N47" s="60">
        <f t="shared" si="24"/>
        <v>92800</v>
      </c>
      <c r="O47" s="53">
        <v>120000</v>
      </c>
      <c r="P47" s="30">
        <f t="shared" si="25"/>
        <v>19200</v>
      </c>
      <c r="Q47" s="30">
        <f t="shared" si="7"/>
        <v>139200</v>
      </c>
      <c r="R47" s="60">
        <f t="shared" si="8"/>
        <v>139200</v>
      </c>
      <c r="S47" s="85">
        <f t="shared" si="9"/>
        <v>116000</v>
      </c>
      <c r="T47" s="478"/>
      <c r="U47" s="481"/>
      <c r="V47" s="478"/>
    </row>
    <row r="48" spans="1:22" x14ac:dyDescent="0.25">
      <c r="A48" s="491"/>
      <c r="B48" s="494"/>
      <c r="C48" s="497"/>
      <c r="D48" s="100" t="s">
        <v>30</v>
      </c>
      <c r="E48" s="101">
        <v>1</v>
      </c>
      <c r="F48" s="47">
        <v>1</v>
      </c>
      <c r="G48" s="53">
        <v>116036.20329542817</v>
      </c>
      <c r="H48" s="37">
        <f t="shared" si="22"/>
        <v>18565.79252726851</v>
      </c>
      <c r="I48" s="37">
        <f t="shared" si="1"/>
        <v>134601.99582269668</v>
      </c>
      <c r="J48" s="76">
        <f t="shared" si="2"/>
        <v>134601.99582269668</v>
      </c>
      <c r="K48" s="53">
        <v>80000</v>
      </c>
      <c r="L48" s="30">
        <f t="shared" si="23"/>
        <v>12800</v>
      </c>
      <c r="M48" s="30">
        <f t="shared" si="4"/>
        <v>92800</v>
      </c>
      <c r="N48" s="60">
        <f t="shared" si="24"/>
        <v>92800</v>
      </c>
      <c r="O48" s="53">
        <v>70000</v>
      </c>
      <c r="P48" s="30">
        <f t="shared" si="25"/>
        <v>11200</v>
      </c>
      <c r="Q48" s="30">
        <f t="shared" si="7"/>
        <v>81200</v>
      </c>
      <c r="R48" s="60">
        <f t="shared" si="8"/>
        <v>81200</v>
      </c>
      <c r="S48" s="85">
        <f t="shared" si="9"/>
        <v>87000</v>
      </c>
      <c r="T48" s="478"/>
      <c r="U48" s="481"/>
      <c r="V48" s="478"/>
    </row>
    <row r="49" spans="1:22" ht="90" x14ac:dyDescent="0.25">
      <c r="A49" s="491"/>
      <c r="B49" s="494"/>
      <c r="C49" s="497"/>
      <c r="D49" s="27" t="s">
        <v>31</v>
      </c>
      <c r="E49" s="29">
        <v>1</v>
      </c>
      <c r="F49" s="47">
        <v>150</v>
      </c>
      <c r="G49" s="53">
        <v>3094.2987545447513</v>
      </c>
      <c r="H49" s="37">
        <f t="shared" si="22"/>
        <v>495.08780072716024</v>
      </c>
      <c r="I49" s="37">
        <f t="shared" si="1"/>
        <v>3589.3865552719117</v>
      </c>
      <c r="J49" s="76">
        <f t="shared" si="2"/>
        <v>538407.98329078674</v>
      </c>
      <c r="K49" s="53">
        <v>25000</v>
      </c>
      <c r="L49" s="30">
        <f t="shared" si="23"/>
        <v>4000</v>
      </c>
      <c r="M49" s="30">
        <f t="shared" si="4"/>
        <v>29000</v>
      </c>
      <c r="N49" s="60">
        <f t="shared" si="24"/>
        <v>4350000</v>
      </c>
      <c r="O49" s="53">
        <v>2800</v>
      </c>
      <c r="P49" s="30">
        <f t="shared" si="25"/>
        <v>448</v>
      </c>
      <c r="Q49" s="30">
        <f t="shared" si="7"/>
        <v>3248</v>
      </c>
      <c r="R49" s="60">
        <f t="shared" si="8"/>
        <v>487200</v>
      </c>
      <c r="S49" s="85">
        <f t="shared" si="9"/>
        <v>2418600</v>
      </c>
      <c r="T49" s="478"/>
      <c r="U49" s="481"/>
      <c r="V49" s="478"/>
    </row>
    <row r="50" spans="1:22" ht="90" x14ac:dyDescent="0.25">
      <c r="A50" s="491"/>
      <c r="B50" s="494"/>
      <c r="C50" s="497"/>
      <c r="D50" s="27" t="s">
        <v>32</v>
      </c>
      <c r="E50" s="29">
        <v>1</v>
      </c>
      <c r="F50" s="47">
        <v>1</v>
      </c>
      <c r="G50" s="53">
        <v>5105592.9449988399</v>
      </c>
      <c r="H50" s="37">
        <f t="shared" si="22"/>
        <v>816894.87119981437</v>
      </c>
      <c r="I50" s="37">
        <f t="shared" si="1"/>
        <v>5922487.8161986545</v>
      </c>
      <c r="J50" s="76">
        <f t="shared" si="2"/>
        <v>5922487.8161986545</v>
      </c>
      <c r="K50" s="53">
        <v>7000</v>
      </c>
      <c r="L50" s="30">
        <f t="shared" si="23"/>
        <v>1120</v>
      </c>
      <c r="M50" s="30">
        <f t="shared" si="4"/>
        <v>8120</v>
      </c>
      <c r="N50" s="60">
        <f t="shared" si="24"/>
        <v>8120</v>
      </c>
      <c r="O50" s="53">
        <v>700000</v>
      </c>
      <c r="P50" s="30">
        <f t="shared" si="25"/>
        <v>112000</v>
      </c>
      <c r="Q50" s="30">
        <f t="shared" si="7"/>
        <v>812000</v>
      </c>
      <c r="R50" s="60">
        <f t="shared" si="8"/>
        <v>812000</v>
      </c>
      <c r="S50" s="85">
        <f t="shared" si="9"/>
        <v>410060</v>
      </c>
      <c r="T50" s="478"/>
      <c r="U50" s="481"/>
      <c r="V50" s="478"/>
    </row>
    <row r="51" spans="1:22" ht="60" x14ac:dyDescent="0.25">
      <c r="A51" s="491"/>
      <c r="B51" s="494"/>
      <c r="C51" s="497"/>
      <c r="D51" s="102" t="s">
        <v>33</v>
      </c>
      <c r="E51" s="29">
        <v>1</v>
      </c>
      <c r="F51" s="47">
        <v>1</v>
      </c>
      <c r="G51" s="53">
        <v>1856579.2527268508</v>
      </c>
      <c r="H51" s="37">
        <f t="shared" si="22"/>
        <v>297052.68043629616</v>
      </c>
      <c r="I51" s="37">
        <f t="shared" si="1"/>
        <v>2153631.933163147</v>
      </c>
      <c r="J51" s="76">
        <f t="shared" si="2"/>
        <v>2153631.933163147</v>
      </c>
      <c r="K51" s="53">
        <v>25000</v>
      </c>
      <c r="L51" s="30">
        <f t="shared" si="23"/>
        <v>4000</v>
      </c>
      <c r="M51" s="30">
        <f t="shared" si="4"/>
        <v>29000</v>
      </c>
      <c r="N51" s="60">
        <f t="shared" si="24"/>
        <v>29000</v>
      </c>
      <c r="O51" s="53">
        <v>1440000</v>
      </c>
      <c r="P51" s="30">
        <f t="shared" si="25"/>
        <v>230400</v>
      </c>
      <c r="Q51" s="30">
        <f t="shared" si="7"/>
        <v>1670400</v>
      </c>
      <c r="R51" s="60">
        <f t="shared" si="8"/>
        <v>1670400</v>
      </c>
      <c r="S51" s="85">
        <f t="shared" si="9"/>
        <v>849700</v>
      </c>
      <c r="T51" s="478"/>
      <c r="U51" s="481"/>
      <c r="V51" s="478"/>
    </row>
    <row r="52" spans="1:22" ht="60.75" thickBot="1" x14ac:dyDescent="0.3">
      <c r="A52" s="492"/>
      <c r="B52" s="495"/>
      <c r="C52" s="498"/>
      <c r="D52" s="103" t="s">
        <v>34</v>
      </c>
      <c r="E52" s="104">
        <v>1</v>
      </c>
      <c r="F52" s="48">
        <v>1</v>
      </c>
      <c r="G52" s="54">
        <v>928289.6263634254</v>
      </c>
      <c r="H52" s="44">
        <f t="shared" si="22"/>
        <v>148526.34021814808</v>
      </c>
      <c r="I52" s="44">
        <f t="shared" si="1"/>
        <v>1076815.9665815735</v>
      </c>
      <c r="J52" s="61">
        <f t="shared" si="2"/>
        <v>1076815.9665815735</v>
      </c>
      <c r="K52" s="54">
        <v>450000</v>
      </c>
      <c r="L52" s="38">
        <f t="shared" si="23"/>
        <v>72000</v>
      </c>
      <c r="M52" s="38">
        <f t="shared" si="4"/>
        <v>522000</v>
      </c>
      <c r="N52" s="64">
        <f t="shared" si="24"/>
        <v>522000</v>
      </c>
      <c r="O52" s="54">
        <v>1200000</v>
      </c>
      <c r="P52" s="38">
        <f t="shared" si="25"/>
        <v>192000</v>
      </c>
      <c r="Q52" s="38">
        <f t="shared" si="7"/>
        <v>1392000</v>
      </c>
      <c r="R52" s="64">
        <f t="shared" si="8"/>
        <v>1392000</v>
      </c>
      <c r="S52" s="86">
        <f t="shared" si="9"/>
        <v>957000</v>
      </c>
      <c r="T52" s="479"/>
      <c r="U52" s="482"/>
      <c r="V52" s="479"/>
    </row>
    <row r="53" spans="1:22" ht="26.25" customHeight="1" thickBot="1" x14ac:dyDescent="0.4">
      <c r="A53" s="70"/>
      <c r="B53" s="71"/>
      <c r="C53" s="71"/>
      <c r="D53" s="72"/>
      <c r="E53" s="73"/>
      <c r="F53" s="74"/>
      <c r="G53" s="483" t="s">
        <v>41</v>
      </c>
      <c r="H53" s="484"/>
      <c r="I53" s="484"/>
      <c r="J53" s="78">
        <f>SUM(J11:J52)</f>
        <v>369122642.53113621</v>
      </c>
      <c r="K53" s="483" t="s">
        <v>41</v>
      </c>
      <c r="L53" s="484"/>
      <c r="M53" s="484"/>
      <c r="N53" s="78">
        <f>SUM(N11:N52)</f>
        <v>184993088</v>
      </c>
      <c r="O53" s="485" t="s">
        <v>41</v>
      </c>
      <c r="P53" s="486"/>
      <c r="Q53" s="486"/>
      <c r="R53" s="80">
        <f>SUM(R11:R52)</f>
        <v>142039680</v>
      </c>
      <c r="S53" s="87">
        <f>AVERAGE(N53,R53)</f>
        <v>163516384</v>
      </c>
      <c r="T53" s="88">
        <f>SUM(T11:T45)</f>
        <v>163516384</v>
      </c>
      <c r="V53" s="89">
        <f>SUM(V11:V52)</f>
        <v>163516384</v>
      </c>
    </row>
    <row r="54" spans="1:22" x14ac:dyDescent="0.25">
      <c r="A54" s="70"/>
      <c r="B54" s="71"/>
      <c r="C54" s="71"/>
      <c r="D54" s="72"/>
      <c r="E54" s="73"/>
      <c r="F54" s="74"/>
      <c r="G54" s="68"/>
      <c r="H54" s="68"/>
      <c r="I54" s="68"/>
      <c r="J54" s="68"/>
    </row>
    <row r="55" spans="1:22" x14ac:dyDescent="0.25">
      <c r="A55" s="70"/>
      <c r="B55" s="71"/>
      <c r="C55" s="71"/>
      <c r="D55" s="72"/>
      <c r="E55" s="73"/>
      <c r="F55" s="74"/>
      <c r="G55" s="68"/>
      <c r="H55" s="68"/>
      <c r="I55" s="68"/>
      <c r="J55" s="68"/>
    </row>
    <row r="56" spans="1:22" ht="15.75" thickBot="1" x14ac:dyDescent="0.3">
      <c r="Q56" s="93"/>
      <c r="R56" s="91"/>
    </row>
    <row r="57" spans="1:22" ht="16.5" thickBot="1" x14ac:dyDescent="0.3">
      <c r="A57" s="4"/>
      <c r="B57" s="4"/>
      <c r="D57" s="120" t="s">
        <v>53</v>
      </c>
      <c r="E57" s="536">
        <f>+V53</f>
        <v>163516384</v>
      </c>
      <c r="F57" s="537"/>
      <c r="G57" s="538"/>
      <c r="N57" s="94"/>
      <c r="P57" s="93"/>
      <c r="Q57" s="79"/>
      <c r="R57" s="92"/>
    </row>
    <row r="58" spans="1:22" ht="16.5" thickBot="1" x14ac:dyDescent="0.3">
      <c r="D58" s="120" t="s">
        <v>54</v>
      </c>
      <c r="E58" s="536">
        <f>+E57-V45-V38</f>
        <v>152947624</v>
      </c>
      <c r="F58" s="537"/>
      <c r="G58" s="538"/>
    </row>
    <row r="59" spans="1:22" ht="16.5" thickBot="1" x14ac:dyDescent="0.3">
      <c r="D59" s="120" t="s">
        <v>55</v>
      </c>
      <c r="E59" s="536">
        <f>+V45+V38</f>
        <v>10568760</v>
      </c>
      <c r="F59" s="537"/>
      <c r="G59" s="538"/>
    </row>
    <row r="60" spans="1:22" ht="15.75" x14ac:dyDescent="0.25">
      <c r="D60" s="121"/>
      <c r="E60" s="122"/>
      <c r="F60" s="122"/>
      <c r="G60" s="122"/>
    </row>
    <row r="61" spans="1:22" ht="16.5" thickBot="1" x14ac:dyDescent="0.3">
      <c r="D61" s="121"/>
      <c r="E61" s="122"/>
      <c r="F61" s="122"/>
      <c r="G61" s="122"/>
    </row>
    <row r="62" spans="1:22" ht="27" thickBot="1" x14ac:dyDescent="0.45">
      <c r="D62" s="123" t="s">
        <v>56</v>
      </c>
      <c r="E62" s="522">
        <f>+E57</f>
        <v>163516384</v>
      </c>
      <c r="F62" s="523"/>
      <c r="G62" s="524"/>
    </row>
    <row r="63" spans="1:22" ht="15.75" x14ac:dyDescent="0.25">
      <c r="D63" s="121"/>
      <c r="E63" s="122"/>
      <c r="F63" s="122"/>
      <c r="G63" s="122"/>
    </row>
    <row r="64" spans="1:22" ht="15.75" x14ac:dyDescent="0.25">
      <c r="D64" s="121"/>
      <c r="E64" s="122"/>
      <c r="F64" s="122"/>
      <c r="G64" s="122"/>
    </row>
    <row r="65" spans="4:7" ht="15.75" x14ac:dyDescent="0.25">
      <c r="D65" s="121"/>
      <c r="E65" s="122"/>
      <c r="F65" s="122"/>
      <c r="G65" s="122"/>
    </row>
  </sheetData>
  <mergeCells count="63">
    <mergeCell ref="E62:G62"/>
    <mergeCell ref="G53:I53"/>
    <mergeCell ref="K53:M53"/>
    <mergeCell ref="O53:Q53"/>
    <mergeCell ref="E57:G57"/>
    <mergeCell ref="E58:G58"/>
    <mergeCell ref="E59:G59"/>
    <mergeCell ref="V45:V52"/>
    <mergeCell ref="A38:A44"/>
    <mergeCell ref="B38:B44"/>
    <mergeCell ref="C38:C44"/>
    <mergeCell ref="T38:T44"/>
    <mergeCell ref="U38:U44"/>
    <mergeCell ref="V38:V44"/>
    <mergeCell ref="A45:A52"/>
    <mergeCell ref="B45:B52"/>
    <mergeCell ref="C45:C52"/>
    <mergeCell ref="T45:T52"/>
    <mergeCell ref="U45:U52"/>
    <mergeCell ref="V33:V37"/>
    <mergeCell ref="T11:T21"/>
    <mergeCell ref="U11:U21"/>
    <mergeCell ref="V11:V21"/>
    <mergeCell ref="A22:A32"/>
    <mergeCell ref="B22:B32"/>
    <mergeCell ref="C22:C32"/>
    <mergeCell ref="T22:T32"/>
    <mergeCell ref="U22:U32"/>
    <mergeCell ref="V22:V32"/>
    <mergeCell ref="A33:A37"/>
    <mergeCell ref="B33:B37"/>
    <mergeCell ref="C33:C37"/>
    <mergeCell ref="T33:T37"/>
    <mergeCell ref="U33:U37"/>
    <mergeCell ref="A11:A21"/>
    <mergeCell ref="A4:V4"/>
    <mergeCell ref="G7:J7"/>
    <mergeCell ref="K7:N7"/>
    <mergeCell ref="O7:R7"/>
    <mergeCell ref="S7:S9"/>
    <mergeCell ref="T7:T9"/>
    <mergeCell ref="U7:U9"/>
    <mergeCell ref="V7:V9"/>
    <mergeCell ref="A8:A9"/>
    <mergeCell ref="B8:B9"/>
    <mergeCell ref="O8:O9"/>
    <mergeCell ref="P8:P9"/>
    <mergeCell ref="M8:M9"/>
    <mergeCell ref="N8:N9"/>
    <mergeCell ref="C8:C9"/>
    <mergeCell ref="D8:D9"/>
    <mergeCell ref="Q8:Q9"/>
    <mergeCell ref="R8:R9"/>
    <mergeCell ref="K8:K9"/>
    <mergeCell ref="L8:L9"/>
    <mergeCell ref="B11:B21"/>
    <mergeCell ref="C11:C21"/>
    <mergeCell ref="I8:I9"/>
    <mergeCell ref="J8:J9"/>
    <mergeCell ref="E8:E9"/>
    <mergeCell ref="F8:F9"/>
    <mergeCell ref="G8:G9"/>
    <mergeCell ref="H8:H9"/>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4" workbookViewId="0">
      <selection activeCell="B66" sqref="B66"/>
    </sheetView>
  </sheetViews>
  <sheetFormatPr baseColWidth="10" defaultColWidth="9.140625" defaultRowHeight="15" x14ac:dyDescent="0.25"/>
  <cols>
    <col min="2" max="2" width="31.5703125" customWidth="1"/>
    <col min="3" max="3" width="40.42578125" customWidth="1"/>
    <col min="4" max="4" width="35" customWidth="1"/>
    <col min="5" max="5" width="9.140625" customWidth="1"/>
    <col min="9" max="9" width="14.140625" bestFit="1" customWidth="1"/>
  </cols>
  <sheetData>
    <row r="1" spans="1:13" x14ac:dyDescent="0.25">
      <c r="B1" t="s">
        <v>267</v>
      </c>
      <c r="C1" t="s">
        <v>268</v>
      </c>
      <c r="D1" t="s">
        <v>269</v>
      </c>
      <c r="E1" t="s">
        <v>270</v>
      </c>
    </row>
    <row r="2" spans="1:13" x14ac:dyDescent="0.25">
      <c r="B2" s="599" t="s">
        <v>271</v>
      </c>
      <c r="C2" s="599"/>
      <c r="D2" s="599"/>
      <c r="E2" s="599"/>
      <c r="I2" t="s">
        <v>272</v>
      </c>
    </row>
    <row r="3" spans="1:13" ht="30" x14ac:dyDescent="0.25">
      <c r="A3">
        <v>5</v>
      </c>
      <c r="B3" s="310" t="s">
        <v>273</v>
      </c>
      <c r="C3" s="313">
        <v>38641000</v>
      </c>
      <c r="D3" t="s">
        <v>274</v>
      </c>
      <c r="E3" t="s">
        <v>275</v>
      </c>
      <c r="I3" s="315">
        <f>33100*600</f>
        <v>19860000</v>
      </c>
    </row>
    <row r="4" spans="1:13" ht="75" x14ac:dyDescent="0.25">
      <c r="A4">
        <v>9</v>
      </c>
      <c r="B4" s="310" t="s">
        <v>276</v>
      </c>
      <c r="C4" s="314">
        <v>33100</v>
      </c>
      <c r="D4" t="s">
        <v>277</v>
      </c>
      <c r="E4" s="311" t="s">
        <v>278</v>
      </c>
    </row>
    <row r="5" spans="1:13" x14ac:dyDescent="0.25">
      <c r="A5" s="600" t="s">
        <v>279</v>
      </c>
      <c r="B5" s="600"/>
      <c r="C5" s="600"/>
      <c r="D5" s="600"/>
      <c r="E5" s="600"/>
    </row>
    <row r="6" spans="1:13" ht="30" x14ac:dyDescent="0.25">
      <c r="A6">
        <v>4</v>
      </c>
      <c r="B6" s="312" t="s">
        <v>280</v>
      </c>
      <c r="C6" s="313">
        <v>1275000</v>
      </c>
      <c r="D6" t="s">
        <v>281</v>
      </c>
      <c r="E6" s="311" t="s">
        <v>282</v>
      </c>
    </row>
    <row r="7" spans="1:13" ht="30" x14ac:dyDescent="0.25">
      <c r="A7">
        <v>5</v>
      </c>
      <c r="B7" s="310" t="s">
        <v>283</v>
      </c>
      <c r="C7" s="313">
        <v>975000</v>
      </c>
      <c r="D7" t="s">
        <v>281</v>
      </c>
      <c r="E7" s="311" t="s">
        <v>282</v>
      </c>
    </row>
    <row r="8" spans="1:13" ht="30" x14ac:dyDescent="0.25">
      <c r="A8">
        <v>9</v>
      </c>
      <c r="B8" s="310" t="s">
        <v>284</v>
      </c>
      <c r="C8" s="316">
        <v>604</v>
      </c>
      <c r="D8" t="s">
        <v>285</v>
      </c>
      <c r="E8" s="311" t="s">
        <v>286</v>
      </c>
    </row>
    <row r="9" spans="1:13" ht="30" x14ac:dyDescent="0.25">
      <c r="A9">
        <v>11</v>
      </c>
      <c r="B9" s="310" t="s">
        <v>287</v>
      </c>
      <c r="C9" s="317"/>
    </row>
    <row r="10" spans="1:13" x14ac:dyDescent="0.25">
      <c r="A10">
        <v>12</v>
      </c>
      <c r="B10" s="310" t="s">
        <v>288</v>
      </c>
      <c r="C10" s="317">
        <v>1160</v>
      </c>
      <c r="D10" t="s">
        <v>289</v>
      </c>
      <c r="E10" s="311" t="s">
        <v>290</v>
      </c>
    </row>
    <row r="11" spans="1:13" ht="75" x14ac:dyDescent="0.25">
      <c r="A11">
        <v>15</v>
      </c>
      <c r="B11" s="310" t="s">
        <v>291</v>
      </c>
      <c r="C11" s="317">
        <v>16600</v>
      </c>
      <c r="D11" t="s">
        <v>292</v>
      </c>
      <c r="E11" s="311" t="s">
        <v>293</v>
      </c>
      <c r="M11">
        <v>2015</v>
      </c>
    </row>
    <row r="12" spans="1:13" ht="75" x14ac:dyDescent="0.25">
      <c r="A12">
        <v>17</v>
      </c>
      <c r="B12" s="310" t="s">
        <v>294</v>
      </c>
      <c r="C12" s="317">
        <v>19970</v>
      </c>
      <c r="D12" t="s">
        <v>295</v>
      </c>
      <c r="E12" s="311" t="s">
        <v>296</v>
      </c>
      <c r="M12">
        <v>2015</v>
      </c>
    </row>
    <row r="13" spans="1:13" x14ac:dyDescent="0.25">
      <c r="B13" s="310"/>
    </row>
    <row r="14" spans="1:13" x14ac:dyDescent="0.25">
      <c r="B14" s="310"/>
    </row>
    <row r="15" spans="1:13" x14ac:dyDescent="0.25">
      <c r="B15" s="310"/>
    </row>
    <row r="16" spans="1:13" x14ac:dyDescent="0.25">
      <c r="B16" s="310"/>
    </row>
    <row r="17" spans="2:2" x14ac:dyDescent="0.25">
      <c r="B17" s="310"/>
    </row>
    <row r="18" spans="2:2" x14ac:dyDescent="0.25">
      <c r="B18" s="310"/>
    </row>
    <row r="19" spans="2:2" x14ac:dyDescent="0.25">
      <c r="B19" s="310"/>
    </row>
  </sheetData>
  <mergeCells count="2">
    <mergeCell ref="B2:E2"/>
    <mergeCell ref="A5:E5"/>
  </mergeCells>
  <hyperlinks>
    <hyperlink ref="E10" r:id="rId1"/>
    <hyperlink ref="E4" r:id="rId2"/>
    <hyperlink ref="E7" r:id="rId3"/>
    <hyperlink ref="E6" r:id="rId4"/>
    <hyperlink ref="E8" r:id="rId5"/>
    <hyperlink ref="E11" r:id="rId6"/>
    <hyperlink ref="E12" r:id="rId7"/>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C3" sqref="C3:C5"/>
    </sheetView>
  </sheetViews>
  <sheetFormatPr baseColWidth="10" defaultRowHeight="15" x14ac:dyDescent="0.25"/>
  <cols>
    <col min="3" max="3" width="34" customWidth="1"/>
  </cols>
  <sheetData>
    <row r="3" spans="2:3" x14ac:dyDescent="0.25">
      <c r="B3" t="s">
        <v>221</v>
      </c>
      <c r="C3" t="s">
        <v>222</v>
      </c>
    </row>
    <row r="4" spans="2:3" x14ac:dyDescent="0.25">
      <c r="B4" t="s">
        <v>223</v>
      </c>
      <c r="C4" t="s">
        <v>224</v>
      </c>
    </row>
    <row r="5" spans="2:3" x14ac:dyDescent="0.25">
      <c r="B5" t="s">
        <v>231</v>
      </c>
      <c r="C5" s="175"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view="pageBreakPreview" zoomScaleSheetLayoutView="100" zoomScalePageLayoutView="125" workbookViewId="0">
      <pane xSplit="2" ySplit="11" topLeftCell="G12" activePane="bottomRight" state="frozen"/>
      <selection pane="topRight" activeCell="C1" sqref="C1"/>
      <selection pane="bottomLeft" activeCell="A12" sqref="A12"/>
      <selection pane="bottomRight" activeCell="K18" sqref="K18"/>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4.7109375" style="215" customWidth="1"/>
    <col min="8" max="8" width="17.85546875" style="215" customWidth="1"/>
    <col min="9" max="9" width="12.5703125" style="215" customWidth="1"/>
    <col min="10" max="10" width="14.85546875" style="215" customWidth="1"/>
    <col min="11" max="11" width="14.140625" style="215" customWidth="1"/>
    <col min="12" max="12" width="14.85546875" style="215" bestFit="1" customWidth="1"/>
    <col min="13" max="13" width="14.85546875" style="215" hidden="1" customWidth="1"/>
    <col min="14" max="14" width="14.85546875" style="215" customWidth="1"/>
    <col min="15" max="15" width="14.85546875" style="215" hidden="1" customWidth="1"/>
    <col min="16" max="17" width="35.7109375" style="137" hidden="1" customWidth="1"/>
    <col min="18" max="18" width="15.85546875" style="188" hidden="1" customWidth="1"/>
    <col min="19" max="19" width="14.42578125" style="188" hidden="1" customWidth="1"/>
    <col min="20" max="20" width="13.42578125" style="137" bestFit="1" customWidth="1"/>
    <col min="21" max="21" width="11.5703125" style="137" bestFit="1" customWidth="1"/>
    <col min="22" max="16384" width="10.85546875" style="137"/>
  </cols>
  <sheetData>
    <row r="1" spans="1:19" x14ac:dyDescent="0.2">
      <c r="B1" s="213"/>
      <c r="M1" s="215">
        <v>7000000</v>
      </c>
    </row>
    <row r="2" spans="1:19" hidden="1" x14ac:dyDescent="0.2">
      <c r="B2" s="213" t="s">
        <v>192</v>
      </c>
    </row>
    <row r="3" spans="1:19" hidden="1" x14ac:dyDescent="0.2">
      <c r="B3" s="213" t="s">
        <v>194</v>
      </c>
    </row>
    <row r="4" spans="1:19" hidden="1" x14ac:dyDescent="0.2">
      <c r="B4" s="214" t="s">
        <v>161</v>
      </c>
    </row>
    <row r="5" spans="1:19" hidden="1" x14ac:dyDescent="0.2">
      <c r="B5" s="213" t="s">
        <v>160</v>
      </c>
    </row>
    <row r="6" spans="1:19" hidden="1" x14ac:dyDescent="0.2">
      <c r="B6" s="213" t="s">
        <v>193</v>
      </c>
    </row>
    <row r="7" spans="1:19" ht="27" customHeight="1" x14ac:dyDescent="0.2">
      <c r="G7" s="294" t="s">
        <v>222</v>
      </c>
      <c r="H7" s="294">
        <v>3</v>
      </c>
      <c r="I7" s="215" t="s">
        <v>241</v>
      </c>
    </row>
    <row r="8" spans="1:19" ht="15" customHeight="1" x14ac:dyDescent="0.2">
      <c r="A8" s="543" t="s">
        <v>259</v>
      </c>
      <c r="B8" s="544"/>
      <c r="C8" s="544"/>
      <c r="D8" s="544"/>
      <c r="E8" s="544"/>
      <c r="F8" s="544"/>
      <c r="G8" s="544"/>
      <c r="H8" s="544"/>
      <c r="I8" s="544"/>
      <c r="J8" s="544"/>
      <c r="K8" s="544"/>
      <c r="L8" s="544"/>
      <c r="M8" s="544"/>
      <c r="N8" s="544"/>
      <c r="O8" s="544"/>
    </row>
    <row r="9" spans="1:19" ht="25.5" x14ac:dyDescent="0.2">
      <c r="A9" s="539" t="s">
        <v>62</v>
      </c>
      <c r="B9" s="539"/>
      <c r="C9" s="264" t="s">
        <v>63</v>
      </c>
      <c r="D9" s="264" t="s">
        <v>64</v>
      </c>
      <c r="E9" s="273" t="s">
        <v>101</v>
      </c>
      <c r="F9" s="273" t="s">
        <v>61</v>
      </c>
      <c r="G9" s="274" t="s">
        <v>658</v>
      </c>
      <c r="H9" s="274" t="s">
        <v>662</v>
      </c>
      <c r="I9" s="274" t="s">
        <v>664</v>
      </c>
      <c r="J9" s="277" t="s">
        <v>266</v>
      </c>
      <c r="K9" s="277" t="s">
        <v>305</v>
      </c>
      <c r="L9" s="274"/>
      <c r="M9" s="274"/>
      <c r="N9" s="274"/>
      <c r="O9" s="274"/>
    </row>
    <row r="10" spans="1:19" x14ac:dyDescent="0.2">
      <c r="A10" s="275"/>
      <c r="B10" s="272" t="s">
        <v>117</v>
      </c>
      <c r="C10" s="264"/>
      <c r="D10" s="264"/>
      <c r="E10" s="273"/>
      <c r="F10" s="273"/>
      <c r="G10" s="274"/>
      <c r="H10" s="274"/>
      <c r="I10" s="274"/>
      <c r="J10" s="274"/>
      <c r="K10" s="274"/>
      <c r="L10" s="274"/>
      <c r="M10" s="274"/>
      <c r="N10" s="274"/>
      <c r="O10" s="274"/>
    </row>
    <row r="11" spans="1:19" ht="40.5" customHeight="1" x14ac:dyDescent="0.2">
      <c r="A11" s="276" t="s">
        <v>129</v>
      </c>
      <c r="B11" s="272" t="s">
        <v>170</v>
      </c>
      <c r="C11" s="272"/>
      <c r="D11" s="272"/>
      <c r="E11" s="273"/>
      <c r="F11" s="273"/>
      <c r="G11" s="277" t="s">
        <v>101</v>
      </c>
      <c r="H11" s="277" t="s">
        <v>101</v>
      </c>
      <c r="I11" s="277" t="s">
        <v>101</v>
      </c>
      <c r="J11" s="277" t="s">
        <v>101</v>
      </c>
      <c r="K11" s="277" t="s">
        <v>101</v>
      </c>
      <c r="L11" s="414" t="s">
        <v>644</v>
      </c>
      <c r="M11" s="414" t="s">
        <v>645</v>
      </c>
      <c r="N11" s="414" t="s">
        <v>646</v>
      </c>
      <c r="O11" s="414" t="s">
        <v>647</v>
      </c>
      <c r="P11" s="414" t="s">
        <v>648</v>
      </c>
      <c r="Q11" s="414" t="s">
        <v>657</v>
      </c>
    </row>
    <row r="12" spans="1:19" x14ac:dyDescent="0.2">
      <c r="A12" s="158">
        <v>1</v>
      </c>
      <c r="B12" s="147" t="s">
        <v>127</v>
      </c>
      <c r="C12" s="254">
        <v>3</v>
      </c>
      <c r="D12" s="148" t="s">
        <v>111</v>
      </c>
      <c r="E12" s="181">
        <v>29700000</v>
      </c>
      <c r="F12" s="181">
        <f t="shared" ref="F12:F20" si="0">+E12*C12</f>
        <v>89100000</v>
      </c>
      <c r="G12" s="252">
        <f>+CO1_MODIFICADA!F12</f>
        <v>29700000</v>
      </c>
      <c r="H12" s="252">
        <f>+'CO3'!F12</f>
        <v>34800000</v>
      </c>
      <c r="I12" s="252">
        <f>+CO4AJUSTADA!G12</f>
        <v>19740000</v>
      </c>
      <c r="J12" s="217">
        <f>+(25289227*1.036)*1.0677</f>
        <v>27973354.743944407</v>
      </c>
      <c r="K12" s="217" t="s">
        <v>560</v>
      </c>
      <c r="L12" s="217">
        <f>+GEOMEAN(G12:K12)</f>
        <v>27485702.952686749</v>
      </c>
      <c r="M12" s="217">
        <f t="shared" ref="M12:M52" si="1">+AVERAGE(G12:K12)</f>
        <v>28053338.685986102</v>
      </c>
      <c r="N12" s="217">
        <f t="shared" ref="N12:N52" si="2">+L12*C12</f>
        <v>82457108.858060241</v>
      </c>
      <c r="O12" s="217">
        <f t="shared" ref="O12:O43" si="3">+M12*C12</f>
        <v>84160016.057958305</v>
      </c>
      <c r="P12" s="415"/>
      <c r="Q12" s="415"/>
      <c r="R12" s="188">
        <f>+GEOMEAN(I12:J12)</f>
        <v>23498808.962274291</v>
      </c>
      <c r="S12" s="188">
        <f t="shared" ref="S12:S52" si="4">+R12*C12</f>
        <v>70496426.886822879</v>
      </c>
    </row>
    <row r="13" spans="1:19" x14ac:dyDescent="0.2">
      <c r="A13" s="158">
        <v>2</v>
      </c>
      <c r="B13" s="147" t="s">
        <v>128</v>
      </c>
      <c r="C13" s="254">
        <v>4</v>
      </c>
      <c r="D13" s="148" t="s">
        <v>111</v>
      </c>
      <c r="E13" s="181">
        <v>29400000</v>
      </c>
      <c r="F13" s="181">
        <f t="shared" si="0"/>
        <v>117600000</v>
      </c>
      <c r="G13" s="252">
        <f>+CO1_MODIFICADA!F13</f>
        <v>29400000</v>
      </c>
      <c r="H13" s="252">
        <f>+'CO3'!F13</f>
        <v>31320000</v>
      </c>
      <c r="I13" s="252">
        <f>+CO4AJUSTADA!G13</f>
        <v>17640000</v>
      </c>
      <c r="J13" s="217">
        <f>+(11899000*1.036)*1.0677</f>
        <v>13161926.542800002</v>
      </c>
      <c r="K13" s="217" t="s">
        <v>560</v>
      </c>
      <c r="L13" s="217">
        <f t="shared" ref="L13:L66" si="5">+GEOMEAN(G13:K13)</f>
        <v>21502887.453190994</v>
      </c>
      <c r="M13" s="217">
        <f t="shared" si="1"/>
        <v>22880481.635700002</v>
      </c>
      <c r="N13" s="217">
        <f t="shared" si="2"/>
        <v>86011549.812763974</v>
      </c>
      <c r="O13" s="217">
        <f t="shared" si="3"/>
        <v>91521926.542800009</v>
      </c>
      <c r="P13" s="416"/>
      <c r="Q13" s="416"/>
      <c r="R13" s="188">
        <f>+GEOMEAN(I13:J13)</f>
        <v>15237335.207148001</v>
      </c>
      <c r="S13" s="188">
        <f t="shared" si="4"/>
        <v>60949340.828592002</v>
      </c>
    </row>
    <row r="14" spans="1:19" x14ac:dyDescent="0.2">
      <c r="A14" s="158">
        <v>3</v>
      </c>
      <c r="B14" s="147" t="s">
        <v>186</v>
      </c>
      <c r="C14" s="254">
        <v>5</v>
      </c>
      <c r="D14" s="148" t="s">
        <v>110</v>
      </c>
      <c r="E14" s="181">
        <v>7300000</v>
      </c>
      <c r="F14" s="181">
        <f t="shared" si="0"/>
        <v>36500000</v>
      </c>
      <c r="G14" s="252">
        <f>+CO1_MODIFICADA!F14</f>
        <v>7300000</v>
      </c>
      <c r="H14" s="252">
        <f>+'CO3'!F14</f>
        <v>7888000</v>
      </c>
      <c r="I14" s="252">
        <f>+CO4AJUSTADA!G14</f>
        <v>21329000</v>
      </c>
      <c r="J14" s="217">
        <f>9260000*1.0677</f>
        <v>9886902</v>
      </c>
      <c r="K14" s="217" t="s">
        <v>560</v>
      </c>
      <c r="L14" s="217">
        <f t="shared" si="5"/>
        <v>10497360.728147894</v>
      </c>
      <c r="M14" s="217">
        <f t="shared" si="1"/>
        <v>11600975.5</v>
      </c>
      <c r="N14" s="217">
        <f t="shared" si="2"/>
        <v>52486803.640739471</v>
      </c>
      <c r="O14" s="217">
        <f t="shared" si="3"/>
        <v>58004877.5</v>
      </c>
      <c r="P14" s="416"/>
      <c r="Q14" s="416"/>
      <c r="R14" s="188">
        <f>+GEOMEAN(I14:J14)</f>
        <v>14521629.824437751</v>
      </c>
      <c r="S14" s="188">
        <f t="shared" si="4"/>
        <v>72608149.122188747</v>
      </c>
    </row>
    <row r="15" spans="1:19" x14ac:dyDescent="0.2">
      <c r="A15" s="158">
        <v>4</v>
      </c>
      <c r="B15" s="147" t="s">
        <v>187</v>
      </c>
      <c r="C15" s="254">
        <v>5</v>
      </c>
      <c r="D15" s="148" t="s">
        <v>110</v>
      </c>
      <c r="E15" s="181">
        <v>5400000</v>
      </c>
      <c r="F15" s="181">
        <f t="shared" si="0"/>
        <v>27000000</v>
      </c>
      <c r="G15" s="252">
        <f>+CO1_MODIFICADA!F15</f>
        <v>5400000</v>
      </c>
      <c r="H15" s="252">
        <f>+'CO3'!F15</f>
        <v>9280000</v>
      </c>
      <c r="I15" s="252">
        <f>+CO4AJUSTADA!G15</f>
        <v>24570000</v>
      </c>
      <c r="J15" s="217">
        <f>+((28875000)*1.036)*1.0677</f>
        <v>31939711.650000002</v>
      </c>
      <c r="K15" s="217" t="s">
        <v>560</v>
      </c>
      <c r="L15" s="217">
        <f t="shared" si="5"/>
        <v>14082166.370641977</v>
      </c>
      <c r="M15" s="217">
        <f t="shared" si="1"/>
        <v>17797427.912500001</v>
      </c>
      <c r="N15" s="217">
        <f t="shared" si="2"/>
        <v>70410831.853209883</v>
      </c>
      <c r="O15" s="217">
        <f t="shared" si="3"/>
        <v>88987139.5625</v>
      </c>
      <c r="P15" s="416"/>
      <c r="Q15" s="416"/>
      <c r="R15" s="188">
        <f>+GEOMEAN(I15:J15)</f>
        <v>28013545.210138973</v>
      </c>
      <c r="S15" s="188">
        <f t="shared" si="4"/>
        <v>140067726.05069485</v>
      </c>
    </row>
    <row r="16" spans="1:19" x14ac:dyDescent="0.2">
      <c r="A16" s="158">
        <v>5</v>
      </c>
      <c r="B16" s="147" t="s">
        <v>113</v>
      </c>
      <c r="C16" s="254">
        <v>4</v>
      </c>
      <c r="D16" s="148" t="s">
        <v>114</v>
      </c>
      <c r="E16" s="181">
        <v>21000000</v>
      </c>
      <c r="F16" s="181">
        <f t="shared" si="0"/>
        <v>84000000</v>
      </c>
      <c r="G16" s="252">
        <f>+CO1_MODIFICADA!F16</f>
        <v>21000000</v>
      </c>
      <c r="H16" s="252">
        <f>+'CO3'!F16</f>
        <v>87000000</v>
      </c>
      <c r="I16" s="252">
        <f>+CO4AJUSTADA!G16</f>
        <v>28560000</v>
      </c>
      <c r="J16" s="217">
        <f>+SECOP_CONIE!C3</f>
        <v>38641000</v>
      </c>
      <c r="K16" s="217">
        <f>+'OPTIMA 2015'!F211</f>
        <v>30000000</v>
      </c>
      <c r="L16" s="217">
        <f t="shared" si="5"/>
        <v>36002550.849903293</v>
      </c>
      <c r="M16" s="217">
        <f t="shared" si="1"/>
        <v>41040200</v>
      </c>
      <c r="N16" s="217">
        <f t="shared" si="2"/>
        <v>144010203.39961317</v>
      </c>
      <c r="O16" s="217">
        <f t="shared" si="3"/>
        <v>164160800</v>
      </c>
      <c r="P16" s="416" t="s">
        <v>274</v>
      </c>
      <c r="Q16" s="416"/>
      <c r="R16" s="188">
        <f>+GEOMEAN(I16:J16)</f>
        <v>33220279.348614756</v>
      </c>
      <c r="S16" s="188">
        <f t="shared" si="4"/>
        <v>132881117.39445902</v>
      </c>
    </row>
    <row r="17" spans="1:19" x14ac:dyDescent="0.2">
      <c r="A17" s="158">
        <v>6</v>
      </c>
      <c r="B17" s="147" t="s">
        <v>107</v>
      </c>
      <c r="C17" s="254">
        <v>11</v>
      </c>
      <c r="D17" s="148" t="s">
        <v>123</v>
      </c>
      <c r="E17" s="181">
        <v>14500000</v>
      </c>
      <c r="F17" s="181">
        <f t="shared" si="0"/>
        <v>159500000</v>
      </c>
      <c r="G17" s="252">
        <f>+CO1_MODIFICADA!F17</f>
        <v>14500000</v>
      </c>
      <c r="H17" s="252">
        <f>+'CO3'!F17</f>
        <v>29000000</v>
      </c>
      <c r="I17" s="252">
        <f>+CO4AJUSTADA!G17</f>
        <v>31467800</v>
      </c>
      <c r="J17" s="252">
        <f>15000000*1.0677</f>
        <v>16015500.000000002</v>
      </c>
      <c r="K17" s="217" t="s">
        <v>560</v>
      </c>
      <c r="L17" s="217">
        <f>+GEOMEAN(G17:K17)</f>
        <v>21455726.316218432</v>
      </c>
      <c r="M17" s="217">
        <f t="shared" si="1"/>
        <v>22745825</v>
      </c>
      <c r="N17" s="217">
        <f t="shared" si="2"/>
        <v>236012989.47840276</v>
      </c>
      <c r="O17" s="217">
        <f t="shared" si="3"/>
        <v>250204075</v>
      </c>
      <c r="P17" s="419" t="s">
        <v>611</v>
      </c>
      <c r="Q17" s="419"/>
      <c r="R17" s="188">
        <f>+GEOMEAN(G17:J17)</f>
        <v>21455726.316218432</v>
      </c>
      <c r="S17" s="188">
        <f t="shared" si="4"/>
        <v>236012989.47840276</v>
      </c>
    </row>
    <row r="18" spans="1:19" x14ac:dyDescent="0.2">
      <c r="A18" s="158">
        <v>7</v>
      </c>
      <c r="B18" s="147" t="s">
        <v>151</v>
      </c>
      <c r="C18" s="254">
        <v>2</v>
      </c>
      <c r="D18" s="148" t="s">
        <v>252</v>
      </c>
      <c r="E18" s="181">
        <v>15400000</v>
      </c>
      <c r="F18" s="181">
        <f t="shared" si="0"/>
        <v>30800000</v>
      </c>
      <c r="G18" s="252">
        <f>+CO1_MODIFICADA!F18</f>
        <v>15400000</v>
      </c>
      <c r="H18" s="252">
        <f>+'CO3'!F18</f>
        <v>17400000</v>
      </c>
      <c r="I18" s="252">
        <f>+CO4AJUSTADA!G18</f>
        <v>6715900</v>
      </c>
      <c r="J18" s="217">
        <f>(6032000*1.036)*1.0677</f>
        <v>6672219.590400001</v>
      </c>
      <c r="K18" s="217">
        <f>+'OPTIMA 2015'!F111*1.036</f>
        <v>6216000</v>
      </c>
      <c r="L18" s="217">
        <f>+GEOMEAN(G18:K18)</f>
        <v>9431724.4737319108</v>
      </c>
      <c r="M18" s="217">
        <f t="shared" si="1"/>
        <v>10480823.91808</v>
      </c>
      <c r="N18" s="217">
        <f t="shared" si="2"/>
        <v>18863448.947463822</v>
      </c>
      <c r="O18" s="217">
        <f t="shared" si="3"/>
        <v>20961647.83616</v>
      </c>
      <c r="P18" s="419" t="s">
        <v>607</v>
      </c>
      <c r="Q18" s="419"/>
      <c r="R18" s="188">
        <f>+GEOMEAN(I18:J18)</f>
        <v>6694024.1669094209</v>
      </c>
      <c r="S18" s="188">
        <f t="shared" si="4"/>
        <v>13388048.333818842</v>
      </c>
    </row>
    <row r="19" spans="1:19" ht="13.5" thickBot="1" x14ac:dyDescent="0.25">
      <c r="A19" s="158">
        <v>8</v>
      </c>
      <c r="B19" s="147" t="s">
        <v>176</v>
      </c>
      <c r="C19" s="254">
        <v>2</v>
      </c>
      <c r="D19" s="148" t="s">
        <v>252</v>
      </c>
      <c r="E19" s="181">
        <v>21000000</v>
      </c>
      <c r="F19" s="181">
        <f t="shared" si="0"/>
        <v>42000000</v>
      </c>
      <c r="G19" s="252">
        <f>+CO1_MODIFICADA!F19</f>
        <v>19000000</v>
      </c>
      <c r="H19" s="252">
        <f>+'CO3'!F19</f>
        <v>14160000</v>
      </c>
      <c r="I19" s="252">
        <f>+CO4AJUSTADA!G19</f>
        <v>12901360</v>
      </c>
      <c r="J19" s="217">
        <f>+(19024000*1.0677)</f>
        <v>20311924.800000001</v>
      </c>
      <c r="K19" s="217" t="s">
        <v>560</v>
      </c>
      <c r="L19" s="217">
        <f t="shared" si="5"/>
        <v>16294868.388226975</v>
      </c>
      <c r="M19" s="217">
        <f t="shared" si="1"/>
        <v>16593321.199999999</v>
      </c>
      <c r="N19" s="217">
        <f t="shared" si="2"/>
        <v>32589736.77645395</v>
      </c>
      <c r="O19" s="217">
        <f t="shared" si="3"/>
        <v>33186642.399999999</v>
      </c>
      <c r="P19" s="419" t="s">
        <v>663</v>
      </c>
      <c r="Q19" s="419"/>
      <c r="R19" s="188">
        <f>+GEOMEAN(I19:J19)</f>
        <v>16188003.401832111</v>
      </c>
      <c r="S19" s="188">
        <f t="shared" si="4"/>
        <v>32376006.803664222</v>
      </c>
    </row>
    <row r="20" spans="1:19" x14ac:dyDescent="0.2">
      <c r="A20" s="158">
        <v>9</v>
      </c>
      <c r="B20" s="147" t="s">
        <v>144</v>
      </c>
      <c r="C20" s="256">
        <v>8</v>
      </c>
      <c r="D20" s="147" t="s">
        <v>145</v>
      </c>
      <c r="E20" s="183">
        <v>5000000</v>
      </c>
      <c r="F20" s="181">
        <f t="shared" si="0"/>
        <v>40000000</v>
      </c>
      <c r="G20" s="252">
        <f>+CO1_MODIFICADA!F20</f>
        <v>5000000</v>
      </c>
      <c r="H20" s="252">
        <f>+'CO3'!F20</f>
        <v>23200000</v>
      </c>
      <c r="I20" s="252">
        <f>+CO4AJUSTADA!G20</f>
        <v>378000</v>
      </c>
      <c r="J20" s="217" t="s">
        <v>560</v>
      </c>
      <c r="K20" s="217">
        <f>672800/4</f>
        <v>168200</v>
      </c>
      <c r="L20" s="217">
        <f t="shared" si="5"/>
        <v>1647949.675113179</v>
      </c>
      <c r="M20" s="217">
        <f t="shared" si="1"/>
        <v>7186550</v>
      </c>
      <c r="N20" s="217">
        <f t="shared" si="2"/>
        <v>13183597.400905432</v>
      </c>
      <c r="O20" s="217">
        <f t="shared" si="3"/>
        <v>57492400</v>
      </c>
      <c r="P20" s="419" t="s">
        <v>614</v>
      </c>
      <c r="Q20" s="419"/>
      <c r="R20" s="188">
        <f>+GEOMEAN(I20:J20)</f>
        <v>378000</v>
      </c>
      <c r="S20" s="188">
        <f t="shared" si="4"/>
        <v>3024000</v>
      </c>
    </row>
    <row r="21" spans="1:19" x14ac:dyDescent="0.2">
      <c r="A21" s="266"/>
      <c r="B21" s="272" t="s">
        <v>256</v>
      </c>
      <c r="C21" s="272"/>
      <c r="D21" s="272"/>
      <c r="E21" s="280"/>
      <c r="F21" s="280"/>
      <c r="G21" s="281">
        <f>+'C01_INICIAL'!F30</f>
        <v>0</v>
      </c>
      <c r="H21" s="281"/>
      <c r="I21" s="281">
        <f>+'CO4'!F30</f>
        <v>0</v>
      </c>
      <c r="J21" s="281"/>
      <c r="K21" s="281"/>
      <c r="L21" s="281"/>
      <c r="M21" s="281">
        <f t="shared" si="1"/>
        <v>0</v>
      </c>
      <c r="N21" s="281">
        <f t="shared" si="2"/>
        <v>0</v>
      </c>
      <c r="O21" s="281">
        <f t="shared" si="3"/>
        <v>0</v>
      </c>
      <c r="P21" s="416"/>
      <c r="Q21" s="416"/>
      <c r="S21" s="188">
        <f t="shared" si="4"/>
        <v>0</v>
      </c>
    </row>
    <row r="22" spans="1:19" x14ac:dyDescent="0.2">
      <c r="A22" s="158">
        <v>1</v>
      </c>
      <c r="B22" s="156" t="s">
        <v>78</v>
      </c>
      <c r="C22" s="151">
        <v>1</v>
      </c>
      <c r="D22" s="159" t="s">
        <v>77</v>
      </c>
      <c r="E22" s="181">
        <v>650000</v>
      </c>
      <c r="F22" s="181">
        <f t="shared" ref="F22:F47" si="6">+E22*C22</f>
        <v>650000</v>
      </c>
      <c r="G22" s="217">
        <f>+CO1_MODIFICADA!F30</f>
        <v>650000</v>
      </c>
      <c r="H22" s="217">
        <f>+'CO3'!F31</f>
        <v>796700</v>
      </c>
      <c r="I22" s="252">
        <f>+CO4AJUSTADA!G22</f>
        <v>65650</v>
      </c>
      <c r="J22" s="217" t="s">
        <v>560</v>
      </c>
      <c r="K22" s="217"/>
      <c r="L22" s="217">
        <f t="shared" si="5"/>
        <v>323952.2256885097</v>
      </c>
      <c r="M22" s="217">
        <f t="shared" si="1"/>
        <v>504116.66666666669</v>
      </c>
      <c r="N22" s="217">
        <f t="shared" si="2"/>
        <v>323952.2256885097</v>
      </c>
      <c r="O22" s="217">
        <f t="shared" si="3"/>
        <v>504116.66666666669</v>
      </c>
      <c r="P22" s="416"/>
      <c r="Q22" s="416"/>
      <c r="R22" s="188">
        <f t="shared" ref="R22:R52" si="7">+GEOMEAN(I22:J22)</f>
        <v>65650</v>
      </c>
      <c r="S22" s="188">
        <f t="shared" si="4"/>
        <v>65650</v>
      </c>
    </row>
    <row r="23" spans="1:19" x14ac:dyDescent="0.2">
      <c r="A23" s="158">
        <f t="shared" ref="A23:A57" si="8">+A22+1</f>
        <v>2</v>
      </c>
      <c r="B23" s="156" t="s">
        <v>79</v>
      </c>
      <c r="C23" s="160">
        <v>5000</v>
      </c>
      <c r="D23" s="159" t="s">
        <v>77</v>
      </c>
      <c r="E23" s="181">
        <v>1300</v>
      </c>
      <c r="F23" s="181">
        <f t="shared" si="6"/>
        <v>6500000</v>
      </c>
      <c r="G23" s="217">
        <f>+CO1_MODIFICADA!F31</f>
        <v>1300</v>
      </c>
      <c r="H23" s="217">
        <f>+'CO3'!F32</f>
        <v>134.6</v>
      </c>
      <c r="I23" s="252">
        <f>+CO4AJUSTADA!G23</f>
        <v>137</v>
      </c>
      <c r="J23" s="217" t="s">
        <v>560</v>
      </c>
      <c r="K23" s="217">
        <f>+'OPTIMA 2015'!F162</f>
        <v>35</v>
      </c>
      <c r="L23" s="217">
        <f t="shared" si="5"/>
        <v>170.1940041051665</v>
      </c>
      <c r="M23" s="217">
        <f t="shared" si="1"/>
        <v>401.65</v>
      </c>
      <c r="N23" s="217">
        <f t="shared" si="2"/>
        <v>850970.02052583254</v>
      </c>
      <c r="O23" s="217">
        <f t="shared" si="3"/>
        <v>2008250</v>
      </c>
      <c r="P23" s="416"/>
      <c r="Q23" s="416"/>
      <c r="R23" s="188">
        <f t="shared" si="7"/>
        <v>137</v>
      </c>
      <c r="S23" s="188">
        <f t="shared" si="4"/>
        <v>685000</v>
      </c>
    </row>
    <row r="24" spans="1:19" x14ac:dyDescent="0.2">
      <c r="A24" s="158">
        <f t="shared" si="8"/>
        <v>3</v>
      </c>
      <c r="B24" s="156" t="s">
        <v>80</v>
      </c>
      <c r="C24" s="151">
        <v>1</v>
      </c>
      <c r="D24" s="159" t="s">
        <v>77</v>
      </c>
      <c r="E24" s="181">
        <v>2100000</v>
      </c>
      <c r="F24" s="181">
        <f t="shared" si="6"/>
        <v>2100000</v>
      </c>
      <c r="G24" s="217">
        <f>+CO1_MODIFICADA!F32</f>
        <v>2100000</v>
      </c>
      <c r="H24" s="217">
        <f>+'CO3'!F33</f>
        <v>1849483</v>
      </c>
      <c r="I24" s="252">
        <f>+CO4AJUSTADA!G24</f>
        <v>814000</v>
      </c>
      <c r="J24" s="252">
        <f>+((1084686*1.94))</f>
        <v>2104290.84</v>
      </c>
      <c r="K24" s="217" t="s">
        <v>560</v>
      </c>
      <c r="L24" s="217">
        <f t="shared" si="5"/>
        <v>1606016.3120191414</v>
      </c>
      <c r="M24" s="217">
        <f t="shared" si="1"/>
        <v>1716943.46</v>
      </c>
      <c r="N24" s="217">
        <f t="shared" si="2"/>
        <v>1606016.3120191414</v>
      </c>
      <c r="O24" s="217">
        <f t="shared" si="3"/>
        <v>1716943.46</v>
      </c>
      <c r="P24" s="416" t="s">
        <v>281</v>
      </c>
      <c r="Q24" s="416"/>
      <c r="R24" s="188">
        <f t="shared" si="7"/>
        <v>1308775.2839047657</v>
      </c>
      <c r="S24" s="188">
        <f t="shared" si="4"/>
        <v>1308775.2839047657</v>
      </c>
    </row>
    <row r="25" spans="1:19" x14ac:dyDescent="0.2">
      <c r="A25" s="158">
        <f t="shared" si="8"/>
        <v>4</v>
      </c>
      <c r="B25" s="156" t="s">
        <v>81</v>
      </c>
      <c r="C25" s="151">
        <v>2</v>
      </c>
      <c r="D25" s="159" t="s">
        <v>77</v>
      </c>
      <c r="E25" s="181">
        <v>1500000</v>
      </c>
      <c r="F25" s="181">
        <f t="shared" si="6"/>
        <v>3000000</v>
      </c>
      <c r="G25" s="217">
        <f>+CO1_MODIFICADA!F33</f>
        <v>1500000</v>
      </c>
      <c r="H25" s="217">
        <f>+'CO3'!F34</f>
        <v>1223504</v>
      </c>
      <c r="I25" s="252">
        <f>+CO4AJUSTADA!G25</f>
        <v>570500</v>
      </c>
      <c r="J25" s="252">
        <f>+(1275000*1.036)*1.0677</f>
        <v>1410324.9300000002</v>
      </c>
      <c r="K25" s="217" t="s">
        <v>560</v>
      </c>
      <c r="L25" s="217">
        <f t="shared" si="5"/>
        <v>1102345.8490094447</v>
      </c>
      <c r="M25" s="217">
        <f t="shared" si="1"/>
        <v>1176082.2324999999</v>
      </c>
      <c r="N25" s="217">
        <f t="shared" si="2"/>
        <v>2204691.6980188894</v>
      </c>
      <c r="O25" s="217">
        <f t="shared" si="3"/>
        <v>2352164.4649999999</v>
      </c>
      <c r="P25" s="416" t="s">
        <v>571</v>
      </c>
      <c r="Q25" s="416"/>
      <c r="R25" s="188">
        <f t="shared" si="7"/>
        <v>896989.61675428553</v>
      </c>
      <c r="S25" s="188">
        <f t="shared" si="4"/>
        <v>1793979.2335085711</v>
      </c>
    </row>
    <row r="26" spans="1:19" x14ac:dyDescent="0.2">
      <c r="A26" s="158">
        <f t="shared" si="8"/>
        <v>5</v>
      </c>
      <c r="B26" s="156" t="s">
        <v>82</v>
      </c>
      <c r="C26" s="151">
        <v>1</v>
      </c>
      <c r="D26" s="159" t="s">
        <v>77</v>
      </c>
      <c r="E26" s="181">
        <v>1400000</v>
      </c>
      <c r="F26" s="181">
        <f t="shared" si="6"/>
        <v>1400000</v>
      </c>
      <c r="G26" s="217">
        <f>+CO1_MODIFICADA!F34</f>
        <v>1400000</v>
      </c>
      <c r="H26" s="217">
        <f>+'CO3'!F35</f>
        <v>910514</v>
      </c>
      <c r="I26" s="252">
        <f>+CO4AJUSTADA!G26</f>
        <v>360000</v>
      </c>
      <c r="J26" s="252">
        <f>+((975000)*1.036)*1.0677</f>
        <v>1078483.77</v>
      </c>
      <c r="K26" s="217" t="s">
        <v>560</v>
      </c>
      <c r="L26" s="217">
        <f t="shared" si="5"/>
        <v>838750.31162998558</v>
      </c>
      <c r="M26" s="217">
        <f t="shared" si="1"/>
        <v>937249.4425</v>
      </c>
      <c r="N26" s="217">
        <f t="shared" si="2"/>
        <v>838750.31162998558</v>
      </c>
      <c r="O26" s="217">
        <f t="shared" si="3"/>
        <v>937249.4425</v>
      </c>
      <c r="P26" s="416" t="s">
        <v>571</v>
      </c>
      <c r="Q26" s="416"/>
      <c r="R26" s="188">
        <f t="shared" si="7"/>
        <v>623100.43909469363</v>
      </c>
      <c r="S26" s="188">
        <f t="shared" si="4"/>
        <v>623100.43909469363</v>
      </c>
    </row>
    <row r="27" spans="1:19" x14ac:dyDescent="0.2">
      <c r="A27" s="158">
        <f t="shared" si="8"/>
        <v>6</v>
      </c>
      <c r="B27" s="156" t="s">
        <v>137</v>
      </c>
      <c r="C27" s="151">
        <v>1</v>
      </c>
      <c r="D27" s="159" t="s">
        <v>77</v>
      </c>
      <c r="E27" s="181">
        <v>600000</v>
      </c>
      <c r="F27" s="181">
        <f t="shared" si="6"/>
        <v>600000</v>
      </c>
      <c r="G27" s="217">
        <f>+CO1_MODIFICADA!F35</f>
        <v>600000</v>
      </c>
      <c r="H27" s="217">
        <f>+'CO3'!F36</f>
        <v>1327835</v>
      </c>
      <c r="I27" s="252">
        <f>+CO4AJUSTADA!G27</f>
        <v>328900</v>
      </c>
      <c r="J27" s="217" t="s">
        <v>560</v>
      </c>
      <c r="K27" s="217" t="s">
        <v>560</v>
      </c>
      <c r="L27" s="217">
        <f t="shared" si="5"/>
        <v>639911.24981904088</v>
      </c>
      <c r="M27" s="217">
        <f t="shared" si="1"/>
        <v>752245</v>
      </c>
      <c r="N27" s="217">
        <f t="shared" si="2"/>
        <v>639911.24981904088</v>
      </c>
      <c r="O27" s="217">
        <f t="shared" si="3"/>
        <v>752245</v>
      </c>
      <c r="P27" s="416"/>
      <c r="Q27" s="416"/>
      <c r="R27" s="188">
        <f t="shared" si="7"/>
        <v>328900</v>
      </c>
      <c r="S27" s="188">
        <f t="shared" si="4"/>
        <v>328900</v>
      </c>
    </row>
    <row r="28" spans="1:19" x14ac:dyDescent="0.2">
      <c r="A28" s="158">
        <f t="shared" si="8"/>
        <v>7</v>
      </c>
      <c r="B28" s="156" t="s">
        <v>138</v>
      </c>
      <c r="C28" s="160">
        <v>5000</v>
      </c>
      <c r="D28" s="159" t="s">
        <v>77</v>
      </c>
      <c r="E28" s="184">
        <v>310</v>
      </c>
      <c r="F28" s="181">
        <f t="shared" si="6"/>
        <v>1550000</v>
      </c>
      <c r="G28" s="217">
        <f>+CO1_MODIFICADA!F36</f>
        <v>310</v>
      </c>
      <c r="H28" s="217">
        <f>+'CO3'!F37</f>
        <v>169.36</v>
      </c>
      <c r="I28" s="252">
        <f>+CO4AJUSTADA!G28</f>
        <v>218</v>
      </c>
      <c r="J28" s="217">
        <f>(133*1.0677)*1.036</f>
        <v>147.11624760000004</v>
      </c>
      <c r="K28" s="217">
        <f>+'OPTIMA 2015'!F167</f>
        <v>110</v>
      </c>
      <c r="L28" s="217">
        <f t="shared" si="5"/>
        <v>179.28191040656802</v>
      </c>
      <c r="M28" s="217">
        <f t="shared" si="1"/>
        <v>190.89524952000002</v>
      </c>
      <c r="N28" s="217">
        <f t="shared" si="2"/>
        <v>896409.55203284009</v>
      </c>
      <c r="O28" s="217">
        <f t="shared" si="3"/>
        <v>954476.24760000012</v>
      </c>
      <c r="P28" s="416" t="s">
        <v>576</v>
      </c>
      <c r="Q28" s="416"/>
      <c r="R28" s="188">
        <f t="shared" si="7"/>
        <v>179.08473406965769</v>
      </c>
      <c r="S28" s="188">
        <f t="shared" si="4"/>
        <v>895423.67034828837</v>
      </c>
    </row>
    <row r="29" spans="1:19" x14ac:dyDescent="0.2">
      <c r="A29" s="158">
        <f t="shared" si="8"/>
        <v>8</v>
      </c>
      <c r="B29" s="156" t="s">
        <v>139</v>
      </c>
      <c r="C29" s="151">
        <v>1</v>
      </c>
      <c r="D29" s="159" t="s">
        <v>77</v>
      </c>
      <c r="E29" s="181">
        <v>900000</v>
      </c>
      <c r="F29" s="181">
        <f t="shared" si="6"/>
        <v>900000</v>
      </c>
      <c r="G29" s="217">
        <f>+CO1_MODIFICADA!F37</f>
        <v>900000</v>
      </c>
      <c r="H29" s="217">
        <f>+'CO3'!F38</f>
        <v>1991753</v>
      </c>
      <c r="I29" s="252">
        <f>+CO4AJUSTADA!G29</f>
        <v>575900</v>
      </c>
      <c r="J29" s="217" t="s">
        <v>560</v>
      </c>
      <c r="K29" s="217" t="s">
        <v>560</v>
      </c>
      <c r="L29" s="217">
        <f t="shared" si="5"/>
        <v>1010667.6295046489</v>
      </c>
      <c r="M29" s="217">
        <f t="shared" si="1"/>
        <v>1155884.3333333333</v>
      </c>
      <c r="N29" s="217">
        <f t="shared" si="2"/>
        <v>1010667.6295046489</v>
      </c>
      <c r="O29" s="217">
        <f t="shared" si="3"/>
        <v>1155884.3333333333</v>
      </c>
      <c r="P29" s="416"/>
      <c r="Q29" s="416"/>
      <c r="R29" s="188">
        <f t="shared" si="7"/>
        <v>575900</v>
      </c>
      <c r="S29" s="188">
        <f t="shared" si="4"/>
        <v>575900</v>
      </c>
    </row>
    <row r="30" spans="1:19" x14ac:dyDescent="0.2">
      <c r="A30" s="158">
        <f t="shared" si="8"/>
        <v>9</v>
      </c>
      <c r="B30" s="156" t="s">
        <v>303</v>
      </c>
      <c r="C30" s="160">
        <v>10000</v>
      </c>
      <c r="D30" s="159" t="s">
        <v>77</v>
      </c>
      <c r="E30" s="184">
        <v>360</v>
      </c>
      <c r="F30" s="181">
        <f t="shared" si="6"/>
        <v>3600000</v>
      </c>
      <c r="G30" s="217">
        <f>+CO1_MODIFICADA!F38</f>
        <v>360</v>
      </c>
      <c r="H30" s="217">
        <f>+'CO3'!F39</f>
        <v>563.76</v>
      </c>
      <c r="I30" s="252">
        <f>+CO4AJUSTADA!G30</f>
        <v>267</v>
      </c>
      <c r="J30" s="252">
        <f>280*1.0677</f>
        <v>298.95600000000002</v>
      </c>
      <c r="K30" s="217">
        <f>+'OPTIMA 2015'!F169</f>
        <v>200</v>
      </c>
      <c r="L30" s="217">
        <f t="shared" si="5"/>
        <v>317.76719331015477</v>
      </c>
      <c r="M30" s="217">
        <f t="shared" si="1"/>
        <v>337.94319999999999</v>
      </c>
      <c r="N30" s="217">
        <f t="shared" si="2"/>
        <v>3177671.9331015479</v>
      </c>
      <c r="O30" s="217">
        <f t="shared" si="3"/>
        <v>3379432</v>
      </c>
      <c r="P30" s="416" t="s">
        <v>285</v>
      </c>
      <c r="Q30" s="416"/>
      <c r="R30" s="188">
        <f t="shared" si="7"/>
        <v>282.52655096468368</v>
      </c>
      <c r="S30" s="188">
        <f t="shared" si="4"/>
        <v>2825265.5096468367</v>
      </c>
    </row>
    <row r="31" spans="1:19" x14ac:dyDescent="0.2">
      <c r="A31" s="158">
        <f t="shared" si="8"/>
        <v>10</v>
      </c>
      <c r="B31" s="156" t="s">
        <v>304</v>
      </c>
      <c r="C31" s="151">
        <v>1</v>
      </c>
      <c r="D31" s="159" t="s">
        <v>77</v>
      </c>
      <c r="E31" s="181">
        <v>1200000</v>
      </c>
      <c r="F31" s="181">
        <f t="shared" si="6"/>
        <v>1200000</v>
      </c>
      <c r="G31" s="217">
        <f>+CO1_MODIFICADA!F39</f>
        <v>1200000</v>
      </c>
      <c r="H31" s="217">
        <f>+'CO3'!F40</f>
        <v>2655671</v>
      </c>
      <c r="I31" s="252">
        <f>+CO4AJUSTADA!G31</f>
        <v>850000</v>
      </c>
      <c r="J31" s="217">
        <v>300</v>
      </c>
      <c r="K31" s="217" t="s">
        <v>560</v>
      </c>
      <c r="L31" s="217">
        <f t="shared" si="5"/>
        <v>168839.4483043463</v>
      </c>
      <c r="M31" s="217">
        <f t="shared" si="1"/>
        <v>1176492.75</v>
      </c>
      <c r="N31" s="217">
        <f t="shared" si="2"/>
        <v>168839.4483043463</v>
      </c>
      <c r="O31" s="217">
        <f t="shared" si="3"/>
        <v>1176492.75</v>
      </c>
      <c r="P31" s="416" t="s">
        <v>585</v>
      </c>
      <c r="Q31" s="416"/>
      <c r="R31" s="188">
        <f t="shared" si="7"/>
        <v>15968.719422671313</v>
      </c>
      <c r="S31" s="188">
        <f t="shared" si="4"/>
        <v>15968.719422671313</v>
      </c>
    </row>
    <row r="32" spans="1:19" x14ac:dyDescent="0.2">
      <c r="A32" s="158">
        <f t="shared" si="8"/>
        <v>11</v>
      </c>
      <c r="B32" s="156" t="s">
        <v>142</v>
      </c>
      <c r="C32" s="160">
        <v>5000</v>
      </c>
      <c r="D32" s="159" t="s">
        <v>77</v>
      </c>
      <c r="E32" s="184">
        <v>360</v>
      </c>
      <c r="F32" s="181">
        <f t="shared" si="6"/>
        <v>1800000</v>
      </c>
      <c r="G32" s="217">
        <f>+CO1_MODIFICADA!F40</f>
        <v>360</v>
      </c>
      <c r="H32" s="217">
        <f>+'CO3'!F41</f>
        <v>350.32</v>
      </c>
      <c r="I32" s="252">
        <f>+CO4AJUSTADA!G32</f>
        <v>270</v>
      </c>
      <c r="J32" s="217" t="s">
        <v>560</v>
      </c>
      <c r="K32" s="217">
        <f>+'OPTIMA 2015'!F171</f>
        <v>275</v>
      </c>
      <c r="L32" s="217">
        <f t="shared" si="5"/>
        <v>311.07561810364228</v>
      </c>
      <c r="M32" s="217">
        <f t="shared" si="1"/>
        <v>313.83</v>
      </c>
      <c r="N32" s="217">
        <f t="shared" si="2"/>
        <v>1555378.0905182115</v>
      </c>
      <c r="O32" s="217">
        <f t="shared" si="3"/>
        <v>1569150</v>
      </c>
      <c r="P32" s="416"/>
      <c r="Q32" s="416"/>
      <c r="R32" s="188">
        <f t="shared" si="7"/>
        <v>270</v>
      </c>
      <c r="S32" s="188">
        <f t="shared" si="4"/>
        <v>1350000</v>
      </c>
    </row>
    <row r="33" spans="1:19" x14ac:dyDescent="0.2">
      <c r="A33" s="158">
        <f t="shared" si="8"/>
        <v>12</v>
      </c>
      <c r="B33" s="156" t="s">
        <v>133</v>
      </c>
      <c r="C33" s="160">
        <v>12500</v>
      </c>
      <c r="D33" s="159" t="s">
        <v>77</v>
      </c>
      <c r="E33" s="181">
        <v>3500</v>
      </c>
      <c r="F33" s="181">
        <f t="shared" si="6"/>
        <v>43750000</v>
      </c>
      <c r="G33" s="217">
        <f>+CO1_MODIFICADA!F41</f>
        <v>3500</v>
      </c>
      <c r="H33" s="217">
        <f>+'CO3'!F42</f>
        <v>1102</v>
      </c>
      <c r="I33" s="252">
        <f>+CO4AJUSTADA!G33</f>
        <v>1160</v>
      </c>
      <c r="J33" s="217">
        <f>1150*1.0677</f>
        <v>1227.855</v>
      </c>
      <c r="K33" s="217">
        <f>+'OPTIMA 2015'!F176</f>
        <v>3500</v>
      </c>
      <c r="L33" s="217">
        <f t="shared" si="5"/>
        <v>1806.2778283942844</v>
      </c>
      <c r="M33" s="217">
        <f t="shared" si="1"/>
        <v>2097.971</v>
      </c>
      <c r="N33" s="217">
        <f t="shared" si="2"/>
        <v>22578472.854928553</v>
      </c>
      <c r="O33" s="217">
        <f t="shared" si="3"/>
        <v>26224637.5</v>
      </c>
      <c r="P33" s="416" t="s">
        <v>289</v>
      </c>
      <c r="Q33" s="416"/>
      <c r="R33" s="188">
        <f t="shared" si="7"/>
        <v>1193.4453485602096</v>
      </c>
      <c r="S33" s="188">
        <f t="shared" si="4"/>
        <v>14918066.85700262</v>
      </c>
    </row>
    <row r="34" spans="1:19" ht="13.5" customHeight="1" x14ac:dyDescent="0.2">
      <c r="A34" s="158">
        <f t="shared" si="8"/>
        <v>13</v>
      </c>
      <c r="B34" s="156" t="s">
        <v>188</v>
      </c>
      <c r="C34" s="160">
        <v>100</v>
      </c>
      <c r="D34" s="159" t="s">
        <v>77</v>
      </c>
      <c r="E34" s="181">
        <v>1800</v>
      </c>
      <c r="F34" s="181">
        <f t="shared" si="6"/>
        <v>180000</v>
      </c>
      <c r="G34" s="217">
        <f>+CO1_MODIFICADA!F42</f>
        <v>1800</v>
      </c>
      <c r="H34" s="217">
        <f>+'CO3'!F43</f>
        <v>643886</v>
      </c>
      <c r="I34" s="252">
        <f>+CO4AJUSTADA!G34</f>
        <v>147500</v>
      </c>
      <c r="J34" s="252">
        <f>(3000*1.036)*1.0677</f>
        <v>3318.4116000000004</v>
      </c>
      <c r="K34" s="217" t="s">
        <v>560</v>
      </c>
      <c r="L34" s="217">
        <f t="shared" si="5"/>
        <v>27444.223037444244</v>
      </c>
      <c r="M34" s="217">
        <f t="shared" si="1"/>
        <v>199126.1029</v>
      </c>
      <c r="N34" s="217">
        <f t="shared" si="2"/>
        <v>2744422.3037444246</v>
      </c>
      <c r="O34" s="217">
        <f t="shared" si="3"/>
        <v>19912610.289999999</v>
      </c>
      <c r="P34" s="416"/>
      <c r="Q34" s="416"/>
      <c r="R34" s="188">
        <f t="shared" si="7"/>
        <v>22123.871971244094</v>
      </c>
      <c r="S34" s="188">
        <f t="shared" si="4"/>
        <v>2212387.1971244095</v>
      </c>
    </row>
    <row r="35" spans="1:19" x14ac:dyDescent="0.2">
      <c r="A35" s="158">
        <f t="shared" si="8"/>
        <v>14</v>
      </c>
      <c r="B35" s="156" t="s">
        <v>124</v>
      </c>
      <c r="C35" s="160">
        <v>1</v>
      </c>
      <c r="D35" s="159" t="s">
        <v>77</v>
      </c>
      <c r="E35" s="181">
        <v>800000</v>
      </c>
      <c r="F35" s="181">
        <f t="shared" si="6"/>
        <v>800000</v>
      </c>
      <c r="G35" s="217">
        <f>+CO1_MODIFICADA!F43</f>
        <v>800000</v>
      </c>
      <c r="H35" s="217">
        <f>+'CO3'!F44</f>
        <v>368000</v>
      </c>
      <c r="I35" s="252">
        <f>+CO4AJUSTADA!G35</f>
        <v>226900</v>
      </c>
      <c r="J35" s="252">
        <f>2718000*1.0677</f>
        <v>2902008.6</v>
      </c>
      <c r="K35" s="217" t="s">
        <v>560</v>
      </c>
      <c r="L35" s="217">
        <f t="shared" si="5"/>
        <v>663540.97893365391</v>
      </c>
      <c r="M35" s="217">
        <f t="shared" si="1"/>
        <v>1074227.1499999999</v>
      </c>
      <c r="N35" s="217">
        <f t="shared" si="2"/>
        <v>663540.97893365391</v>
      </c>
      <c r="O35" s="217">
        <f t="shared" si="3"/>
        <v>1074227.1499999999</v>
      </c>
      <c r="P35" s="416"/>
      <c r="Q35" s="416"/>
      <c r="R35" s="188">
        <f t="shared" si="7"/>
        <v>811459.02628536953</v>
      </c>
      <c r="S35" s="188">
        <f t="shared" si="4"/>
        <v>811459.02628536953</v>
      </c>
    </row>
    <row r="36" spans="1:19" x14ac:dyDescent="0.2">
      <c r="A36" s="158">
        <f t="shared" si="8"/>
        <v>15</v>
      </c>
      <c r="B36" s="161" t="s">
        <v>125</v>
      </c>
      <c r="C36" s="160">
        <v>215</v>
      </c>
      <c r="D36" s="159" t="s">
        <v>77</v>
      </c>
      <c r="E36" s="181">
        <v>5400</v>
      </c>
      <c r="F36" s="181">
        <f t="shared" si="6"/>
        <v>1161000</v>
      </c>
      <c r="G36" s="217">
        <f>+CO1_MODIFICADA!F44</f>
        <v>5400</v>
      </c>
      <c r="H36" s="217">
        <f>+'CO3'!F45</f>
        <v>13200</v>
      </c>
      <c r="I36" s="252">
        <f>+CO4AJUSTADA!G36</f>
        <v>12700</v>
      </c>
      <c r="J36" s="252">
        <f>16600*1.036</f>
        <v>17197.600000000002</v>
      </c>
      <c r="K36" s="217" t="s">
        <v>560</v>
      </c>
      <c r="L36" s="217">
        <f t="shared" si="5"/>
        <v>11170.170800386435</v>
      </c>
      <c r="M36" s="217">
        <f t="shared" si="1"/>
        <v>12124.400000000001</v>
      </c>
      <c r="N36" s="217">
        <f t="shared" si="2"/>
        <v>2401586.7220830834</v>
      </c>
      <c r="O36" s="217">
        <f t="shared" si="3"/>
        <v>2606746.0000000005</v>
      </c>
      <c r="P36" s="416" t="s">
        <v>292</v>
      </c>
      <c r="Q36" s="416"/>
      <c r="R36" s="188">
        <f t="shared" si="7"/>
        <v>14778.684650536394</v>
      </c>
      <c r="S36" s="188">
        <f t="shared" si="4"/>
        <v>3177417.1998653244</v>
      </c>
    </row>
    <row r="37" spans="1:19" x14ac:dyDescent="0.2">
      <c r="A37" s="158">
        <f t="shared" si="8"/>
        <v>16</v>
      </c>
      <c r="B37" s="161" t="s">
        <v>126</v>
      </c>
      <c r="C37" s="151">
        <v>1</v>
      </c>
      <c r="D37" s="159" t="s">
        <v>77</v>
      </c>
      <c r="E37" s="181">
        <v>775000</v>
      </c>
      <c r="F37" s="181">
        <f t="shared" si="6"/>
        <v>775000</v>
      </c>
      <c r="G37" s="217">
        <f>+CO1_MODIFICADA!F45</f>
        <v>775000</v>
      </c>
      <c r="H37" s="217">
        <f>+'CO3'!F46</f>
        <v>5121648</v>
      </c>
      <c r="I37" s="252">
        <f>+CO4AJUSTADA!G37</f>
        <v>415090</v>
      </c>
      <c r="J37" s="217">
        <f>+'SECOP_ALEJOY CARO'!C28*1.036</f>
        <v>9253.5519999999997</v>
      </c>
      <c r="K37" s="217" t="s">
        <v>560</v>
      </c>
      <c r="L37" s="217">
        <f t="shared" si="5"/>
        <v>351390.92605443625</v>
      </c>
      <c r="M37" s="217">
        <f t="shared" si="1"/>
        <v>1580247.888</v>
      </c>
      <c r="N37" s="217">
        <f t="shared" si="2"/>
        <v>351390.92605443625</v>
      </c>
      <c r="O37" s="217">
        <f t="shared" si="3"/>
        <v>1580247.888</v>
      </c>
      <c r="P37" s="416" t="s">
        <v>623</v>
      </c>
      <c r="Q37" s="416"/>
      <c r="R37" s="188">
        <f t="shared" si="7"/>
        <v>61976.260775235547</v>
      </c>
      <c r="S37" s="188">
        <f t="shared" si="4"/>
        <v>61976.260775235547</v>
      </c>
    </row>
    <row r="38" spans="1:19" x14ac:dyDescent="0.2">
      <c r="A38" s="158">
        <f t="shared" si="8"/>
        <v>17</v>
      </c>
      <c r="B38" s="161" t="s">
        <v>134</v>
      </c>
      <c r="C38" s="160">
        <v>498</v>
      </c>
      <c r="D38" s="159" t="s">
        <v>77</v>
      </c>
      <c r="E38" s="181">
        <v>4000</v>
      </c>
      <c r="F38" s="181">
        <f t="shared" si="6"/>
        <v>1992000</v>
      </c>
      <c r="G38" s="217">
        <f>+CO1_MODIFICADA!F46</f>
        <v>4000</v>
      </c>
      <c r="H38" s="217">
        <f>+'CO3'!F47</f>
        <v>2062.5</v>
      </c>
      <c r="I38" s="252">
        <f>+CO4AJUSTADA!G38</f>
        <v>11050</v>
      </c>
      <c r="J38" s="252">
        <f>+('SECOP_ALEJOY CARO'!C26*1.036)*1.0677</f>
        <v>4678.9603560000005</v>
      </c>
      <c r="K38" s="217" t="s">
        <v>560</v>
      </c>
      <c r="L38" s="217">
        <f t="shared" si="5"/>
        <v>4544.555358142763</v>
      </c>
      <c r="M38" s="217">
        <f t="shared" si="1"/>
        <v>5447.8650889999999</v>
      </c>
      <c r="N38" s="217">
        <f t="shared" si="2"/>
        <v>2263188.568355096</v>
      </c>
      <c r="O38" s="217">
        <f t="shared" si="3"/>
        <v>2713036.8143219999</v>
      </c>
      <c r="P38" s="416" t="s">
        <v>624</v>
      </c>
      <c r="Q38" s="416"/>
      <c r="R38" s="188">
        <f t="shared" si="7"/>
        <v>7190.4458786503637</v>
      </c>
      <c r="S38" s="188">
        <f t="shared" si="4"/>
        <v>3580842.0475678812</v>
      </c>
    </row>
    <row r="39" spans="1:19" x14ac:dyDescent="0.2">
      <c r="A39" s="158">
        <f t="shared" si="8"/>
        <v>18</v>
      </c>
      <c r="B39" s="156" t="s">
        <v>83</v>
      </c>
      <c r="C39" s="151">
        <v>5</v>
      </c>
      <c r="D39" s="159" t="s">
        <v>77</v>
      </c>
      <c r="E39" s="181">
        <v>650000</v>
      </c>
      <c r="F39" s="181">
        <f t="shared" si="6"/>
        <v>3250000</v>
      </c>
      <c r="G39" s="252">
        <f>+CO1_MODIFICADA!F47</f>
        <v>650000</v>
      </c>
      <c r="H39" s="217">
        <f>+'CO3'!F48</f>
        <v>466639</v>
      </c>
      <c r="I39" s="252">
        <f>+CO4AJUSTADA!G39</f>
        <v>355000</v>
      </c>
      <c r="J39" s="217">
        <f>90000*1.036</f>
        <v>93240</v>
      </c>
      <c r="K39" s="217" t="s">
        <v>560</v>
      </c>
      <c r="L39" s="217">
        <f t="shared" si="5"/>
        <v>316541.93425330234</v>
      </c>
      <c r="M39" s="217">
        <f t="shared" si="1"/>
        <v>391219.75</v>
      </c>
      <c r="N39" s="217">
        <f t="shared" si="2"/>
        <v>1582709.6712665118</v>
      </c>
      <c r="O39" s="217">
        <f t="shared" si="3"/>
        <v>1956098.75</v>
      </c>
      <c r="P39" s="416"/>
      <c r="Q39" s="416"/>
      <c r="R39" s="188">
        <f t="shared" si="7"/>
        <v>181934.60363548217</v>
      </c>
      <c r="S39" s="188">
        <f t="shared" si="4"/>
        <v>909673.01817741082</v>
      </c>
    </row>
    <row r="40" spans="1:19" x14ac:dyDescent="0.2">
      <c r="A40" s="158">
        <f t="shared" si="8"/>
        <v>19</v>
      </c>
      <c r="B40" s="156" t="s">
        <v>135</v>
      </c>
      <c r="C40" s="148">
        <v>5</v>
      </c>
      <c r="D40" s="159" t="s">
        <v>77</v>
      </c>
      <c r="E40" s="181">
        <v>290000</v>
      </c>
      <c r="F40" s="181">
        <f t="shared" si="6"/>
        <v>1450000</v>
      </c>
      <c r="G40" s="252">
        <f>+CO1_MODIFICADA!F48</f>
        <v>290000</v>
      </c>
      <c r="H40" s="217">
        <f>+'CO3'!F49</f>
        <v>191400</v>
      </c>
      <c r="I40" s="252">
        <f>+CO4AJUSTADA!G40</f>
        <v>252000</v>
      </c>
      <c r="J40" s="217">
        <f>218050*1.0677</f>
        <v>232811.98500000002</v>
      </c>
      <c r="K40" s="217">
        <f>+'OPTIMA 2015'!F192</f>
        <v>100000</v>
      </c>
      <c r="L40" s="217">
        <f t="shared" si="5"/>
        <v>200700.82660385201</v>
      </c>
      <c r="M40" s="217">
        <f t="shared" si="1"/>
        <v>213242.39699999997</v>
      </c>
      <c r="N40" s="217">
        <f t="shared" si="2"/>
        <v>1003504.13301926</v>
      </c>
      <c r="O40" s="217">
        <f t="shared" si="3"/>
        <v>1066211.9849999999</v>
      </c>
      <c r="P40" s="416"/>
      <c r="Q40" s="416"/>
      <c r="R40" s="188">
        <f t="shared" si="7"/>
        <v>242216.06102816551</v>
      </c>
      <c r="S40" s="188">
        <f t="shared" si="4"/>
        <v>1211080.3051408275</v>
      </c>
    </row>
    <row r="41" spans="1:19" x14ac:dyDescent="0.2">
      <c r="A41" s="158">
        <f t="shared" si="8"/>
        <v>20</v>
      </c>
      <c r="B41" s="156" t="s">
        <v>84</v>
      </c>
      <c r="C41" s="151">
        <v>1</v>
      </c>
      <c r="D41" s="159" t="s">
        <v>77</v>
      </c>
      <c r="E41" s="181">
        <v>650000</v>
      </c>
      <c r="F41" s="181">
        <f t="shared" si="6"/>
        <v>650000</v>
      </c>
      <c r="G41" s="252">
        <f>+CO1_MODIFICADA!F49</f>
        <v>650000</v>
      </c>
      <c r="H41" s="217">
        <f>+'CO3'!F50</f>
        <v>466639</v>
      </c>
      <c r="I41" s="252">
        <f>+CO4AJUSTADA!G41</f>
        <v>161995</v>
      </c>
      <c r="J41" s="217">
        <f>138829*1.6077</f>
        <v>223195.38329999999</v>
      </c>
      <c r="K41" s="217" t="s">
        <v>560</v>
      </c>
      <c r="L41" s="217">
        <f t="shared" si="5"/>
        <v>323608.78410594043</v>
      </c>
      <c r="M41" s="217">
        <f t="shared" si="1"/>
        <v>375457.34582499997</v>
      </c>
      <c r="N41" s="217">
        <f t="shared" si="2"/>
        <v>323608.78410594043</v>
      </c>
      <c r="O41" s="217">
        <f t="shared" si="3"/>
        <v>375457.34582499997</v>
      </c>
      <c r="P41" s="416"/>
      <c r="Q41" s="416"/>
      <c r="R41" s="188">
        <f t="shared" si="7"/>
        <v>190148.72105192687</v>
      </c>
      <c r="S41" s="188">
        <f t="shared" si="4"/>
        <v>190148.72105192687</v>
      </c>
    </row>
    <row r="42" spans="1:19" x14ac:dyDescent="0.2">
      <c r="A42" s="158">
        <f t="shared" si="8"/>
        <v>21</v>
      </c>
      <c r="B42" s="156" t="s">
        <v>85</v>
      </c>
      <c r="C42" s="151">
        <v>1</v>
      </c>
      <c r="D42" s="159" t="s">
        <v>77</v>
      </c>
      <c r="E42" s="181">
        <v>390000</v>
      </c>
      <c r="F42" s="181">
        <f t="shared" si="6"/>
        <v>390000</v>
      </c>
      <c r="G42" s="252">
        <f>+CO1_MODIFICADA!F50</f>
        <v>390000</v>
      </c>
      <c r="H42" s="217">
        <f>+'CO3'!F51</f>
        <v>425000</v>
      </c>
      <c r="I42" s="252">
        <f>+CO4AJUSTADA!G42</f>
        <v>973000</v>
      </c>
      <c r="J42" s="217">
        <f>285000*1.035</f>
        <v>294975</v>
      </c>
      <c r="K42" s="217">
        <f>+'OPTIMA 2015'!F194</f>
        <v>150000</v>
      </c>
      <c r="L42" s="217">
        <f t="shared" si="5"/>
        <v>372124.76144090918</v>
      </c>
      <c r="M42" s="217">
        <f t="shared" si="1"/>
        <v>446595</v>
      </c>
      <c r="N42" s="217">
        <f t="shared" si="2"/>
        <v>372124.76144090918</v>
      </c>
      <c r="O42" s="217">
        <f t="shared" si="3"/>
        <v>446595</v>
      </c>
      <c r="P42" s="416"/>
      <c r="Q42" s="416"/>
      <c r="R42" s="188">
        <f t="shared" si="7"/>
        <v>535733.77250272362</v>
      </c>
      <c r="S42" s="188">
        <f t="shared" si="4"/>
        <v>535733.77250272362</v>
      </c>
    </row>
    <row r="43" spans="1:19" x14ac:dyDescent="0.2">
      <c r="A43" s="158">
        <f t="shared" si="8"/>
        <v>22</v>
      </c>
      <c r="B43" s="156" t="s">
        <v>86</v>
      </c>
      <c r="C43" s="151">
        <v>2</v>
      </c>
      <c r="D43" s="159" t="s">
        <v>77</v>
      </c>
      <c r="E43" s="181">
        <v>730000</v>
      </c>
      <c r="F43" s="181">
        <f t="shared" si="6"/>
        <v>1460000</v>
      </c>
      <c r="G43" s="252">
        <f>+CO1_MODIFICADA!F51</f>
        <v>730000</v>
      </c>
      <c r="H43" s="217">
        <f>+'CO3'!F52</f>
        <v>466639</v>
      </c>
      <c r="I43" s="252">
        <f>+CO4AJUSTADA!G43</f>
        <v>511980</v>
      </c>
      <c r="J43" s="217">
        <f>108205*1.036</f>
        <v>112100.38</v>
      </c>
      <c r="K43" s="217" t="s">
        <v>560</v>
      </c>
      <c r="L43" s="217">
        <f t="shared" si="5"/>
        <v>373930.58882799954</v>
      </c>
      <c r="M43" s="217">
        <f t="shared" si="1"/>
        <v>455179.84499999997</v>
      </c>
      <c r="N43" s="217">
        <f t="shared" si="2"/>
        <v>747861.17765599908</v>
      </c>
      <c r="O43" s="217">
        <f t="shared" si="3"/>
        <v>910359.69</v>
      </c>
      <c r="P43" s="416"/>
      <c r="Q43" s="416"/>
      <c r="R43" s="188">
        <f t="shared" si="7"/>
        <v>239568.68024096973</v>
      </c>
      <c r="S43" s="188">
        <f t="shared" si="4"/>
        <v>479137.36048193945</v>
      </c>
    </row>
    <row r="44" spans="1:19" x14ac:dyDescent="0.2">
      <c r="A44" s="158">
        <f t="shared" si="8"/>
        <v>23</v>
      </c>
      <c r="B44" s="156" t="s">
        <v>87</v>
      </c>
      <c r="C44" s="151">
        <v>1</v>
      </c>
      <c r="D44" s="159" t="s">
        <v>77</v>
      </c>
      <c r="E44" s="181">
        <v>280000</v>
      </c>
      <c r="F44" s="181">
        <f t="shared" si="6"/>
        <v>280000</v>
      </c>
      <c r="G44" s="217">
        <f>+CO1_MODIFICADA!F52</f>
        <v>280000</v>
      </c>
      <c r="H44" s="217">
        <f>+'CO3'!F53</f>
        <v>87000</v>
      </c>
      <c r="I44" s="252">
        <f>+CO4AJUSTADA!G44</f>
        <v>1540000</v>
      </c>
      <c r="J44" s="217">
        <f>285000*1.0677</f>
        <v>304294.5</v>
      </c>
      <c r="K44" s="217">
        <f>+'OPTIMA 2015'!F196</f>
        <v>250000</v>
      </c>
      <c r="L44" s="217">
        <f t="shared" si="5"/>
        <v>309803.57372784871</v>
      </c>
      <c r="M44" s="217">
        <f t="shared" si="1"/>
        <v>492258.9</v>
      </c>
      <c r="N44" s="217">
        <f t="shared" si="2"/>
        <v>309803.57372784871</v>
      </c>
      <c r="O44" s="217">
        <f t="shared" ref="O44:O71" si="9">+M44*C44</f>
        <v>492258.9</v>
      </c>
      <c r="P44" s="416"/>
      <c r="Q44" s="416"/>
      <c r="R44" s="188">
        <f t="shared" si="7"/>
        <v>684553.52602992265</v>
      </c>
      <c r="S44" s="188">
        <f t="shared" si="4"/>
        <v>684553.52602992265</v>
      </c>
    </row>
    <row r="45" spans="1:19" x14ac:dyDescent="0.2">
      <c r="A45" s="158">
        <f t="shared" si="8"/>
        <v>24</v>
      </c>
      <c r="B45" s="156" t="s">
        <v>88</v>
      </c>
      <c r="C45" s="151">
        <v>1</v>
      </c>
      <c r="D45" s="159" t="s">
        <v>77</v>
      </c>
      <c r="E45" s="181">
        <v>730000</v>
      </c>
      <c r="F45" s="181">
        <f t="shared" si="6"/>
        <v>730000</v>
      </c>
      <c r="G45" s="217">
        <f>+CO1_MODIFICADA!F53</f>
        <v>730000</v>
      </c>
      <c r="H45" s="217">
        <f>+'CO3'!F54</f>
        <v>466639</v>
      </c>
      <c r="I45" s="252">
        <f>+CO4AJUSTADA!G45</f>
        <v>511980</v>
      </c>
      <c r="J45" s="217">
        <v>1105000</v>
      </c>
      <c r="K45" s="217" t="s">
        <v>560</v>
      </c>
      <c r="L45" s="217">
        <f t="shared" si="5"/>
        <v>662566.98509968724</v>
      </c>
      <c r="M45" s="217">
        <f t="shared" si="1"/>
        <v>703404.75</v>
      </c>
      <c r="N45" s="217">
        <f t="shared" si="2"/>
        <v>662566.98509968724</v>
      </c>
      <c r="O45" s="217">
        <f t="shared" si="9"/>
        <v>703404.75</v>
      </c>
      <c r="P45" s="416"/>
      <c r="Q45" s="416"/>
      <c r="R45" s="188">
        <f t="shared" si="7"/>
        <v>752155.50253920234</v>
      </c>
      <c r="S45" s="188">
        <f t="shared" si="4"/>
        <v>752155.50253920234</v>
      </c>
    </row>
    <row r="46" spans="1:19" x14ac:dyDescent="0.2">
      <c r="A46" s="158">
        <f t="shared" si="8"/>
        <v>25</v>
      </c>
      <c r="B46" s="156" t="s">
        <v>89</v>
      </c>
      <c r="C46" s="151">
        <v>2</v>
      </c>
      <c r="D46" s="159" t="s">
        <v>77</v>
      </c>
      <c r="E46" s="181">
        <v>540000</v>
      </c>
      <c r="F46" s="181">
        <f t="shared" si="6"/>
        <v>1080000</v>
      </c>
      <c r="G46" s="217">
        <f>+CO1_MODIFICADA!F54</f>
        <v>540000</v>
      </c>
      <c r="H46" s="217">
        <f>+'CO3'!F55</f>
        <v>174000</v>
      </c>
      <c r="I46" s="252">
        <f>+CO4AJUSTADA!G46</f>
        <v>1750000</v>
      </c>
      <c r="J46" s="217">
        <f>+J45</f>
        <v>1105000</v>
      </c>
      <c r="K46" s="217">
        <f>+'OPTIMA 2015'!F198</f>
        <v>400000</v>
      </c>
      <c r="L46" s="217">
        <f t="shared" si="5"/>
        <v>591944.05773525406</v>
      </c>
      <c r="M46" s="217">
        <f t="shared" si="1"/>
        <v>793800</v>
      </c>
      <c r="N46" s="217">
        <f t="shared" si="2"/>
        <v>1183888.1154705081</v>
      </c>
      <c r="O46" s="217">
        <f t="shared" si="9"/>
        <v>1587600</v>
      </c>
      <c r="P46" s="416"/>
      <c r="Q46" s="416"/>
      <c r="R46" s="188">
        <f t="shared" si="7"/>
        <v>1390593.3985173379</v>
      </c>
      <c r="S46" s="188">
        <f t="shared" si="4"/>
        <v>2781186.7970346757</v>
      </c>
    </row>
    <row r="47" spans="1:19" x14ac:dyDescent="0.2">
      <c r="A47" s="158">
        <f>+A46+1</f>
        <v>26</v>
      </c>
      <c r="B47" s="156" t="s">
        <v>90</v>
      </c>
      <c r="C47" s="151">
        <v>1</v>
      </c>
      <c r="D47" s="159" t="s">
        <v>77</v>
      </c>
      <c r="E47" s="181">
        <v>790000</v>
      </c>
      <c r="F47" s="181">
        <f t="shared" si="6"/>
        <v>790000</v>
      </c>
      <c r="G47" s="217">
        <f>+CO1_MODIFICADA!F55</f>
        <v>790000</v>
      </c>
      <c r="H47" s="217">
        <f>+'CO3'!F56</f>
        <v>1079340</v>
      </c>
      <c r="I47" s="252">
        <f>+CO4AJUSTADA!G47</f>
        <v>675780</v>
      </c>
      <c r="J47" s="217">
        <f>291949*1.0677</f>
        <v>311713.9473</v>
      </c>
      <c r="K47" s="217" t="s">
        <v>560</v>
      </c>
      <c r="L47" s="217">
        <f t="shared" si="5"/>
        <v>651008.61112671462</v>
      </c>
      <c r="M47" s="217">
        <f t="shared" si="1"/>
        <v>714208.48682500003</v>
      </c>
      <c r="N47" s="217">
        <f t="shared" si="2"/>
        <v>651008.61112671462</v>
      </c>
      <c r="O47" s="217">
        <f t="shared" si="9"/>
        <v>714208.48682500003</v>
      </c>
      <c r="P47" s="416"/>
      <c r="Q47" s="416"/>
      <c r="R47" s="188">
        <f t="shared" si="7"/>
        <v>458966.28558794386</v>
      </c>
      <c r="S47" s="188">
        <f t="shared" si="4"/>
        <v>458966.28558794386</v>
      </c>
    </row>
    <row r="48" spans="1:19" x14ac:dyDescent="0.2">
      <c r="A48" s="158">
        <f t="shared" si="8"/>
        <v>27</v>
      </c>
      <c r="B48" s="156" t="s">
        <v>91</v>
      </c>
      <c r="C48" s="151">
        <v>1</v>
      </c>
      <c r="D48" s="159" t="s">
        <v>77</v>
      </c>
      <c r="E48" s="181" t="s">
        <v>190</v>
      </c>
      <c r="F48" s="181" t="s">
        <v>190</v>
      </c>
      <c r="G48" s="217" t="str">
        <f>+CO1_MODIFICADA!F56</f>
        <v>N/A</v>
      </c>
      <c r="H48" s="217">
        <f>+'CO3'!F57</f>
        <v>261000</v>
      </c>
      <c r="I48" s="252">
        <f>+CO4AJUSTADA!G48</f>
        <v>2380000</v>
      </c>
      <c r="J48" s="217">
        <f>(540000*1.036)*1.0677</f>
        <v>597314.08800000011</v>
      </c>
      <c r="K48" s="217">
        <f>+'OPTIMA 2015'!F200</f>
        <v>450000</v>
      </c>
      <c r="L48" s="217">
        <f t="shared" si="5"/>
        <v>639231.52365112561</v>
      </c>
      <c r="M48" s="217">
        <f t="shared" si="1"/>
        <v>922078.522</v>
      </c>
      <c r="N48" s="217">
        <f t="shared" si="2"/>
        <v>639231.52365112561</v>
      </c>
      <c r="O48" s="217">
        <f t="shared" si="9"/>
        <v>922078.522</v>
      </c>
      <c r="P48" s="416"/>
      <c r="Q48" s="416"/>
      <c r="R48" s="188">
        <f t="shared" si="7"/>
        <v>1192311.8423633978</v>
      </c>
      <c r="S48" s="188">
        <f t="shared" si="4"/>
        <v>1192311.8423633978</v>
      </c>
    </row>
    <row r="49" spans="1:19" x14ac:dyDescent="0.2">
      <c r="A49" s="158">
        <f t="shared" si="8"/>
        <v>28</v>
      </c>
      <c r="B49" s="156" t="s">
        <v>92</v>
      </c>
      <c r="C49" s="151">
        <v>1</v>
      </c>
      <c r="D49" s="159" t="s">
        <v>77</v>
      </c>
      <c r="E49" s="181">
        <v>920000</v>
      </c>
      <c r="F49" s="181">
        <f>+E49*C49</f>
        <v>920000</v>
      </c>
      <c r="G49" s="217">
        <f>+CO1_MODIFICADA!F57</f>
        <v>920000</v>
      </c>
      <c r="H49" s="217">
        <f>+'CO3'!F58</f>
        <v>1079340</v>
      </c>
      <c r="I49" s="252">
        <f>+CO4AJUSTADA!G49</f>
        <v>675780</v>
      </c>
      <c r="J49" s="217">
        <f>(939600*1.036)*1.0677</f>
        <v>1039326.51312</v>
      </c>
      <c r="K49" s="217" t="s">
        <v>560</v>
      </c>
      <c r="L49" s="217">
        <f t="shared" si="5"/>
        <v>913851.98615364125</v>
      </c>
      <c r="M49" s="217">
        <f t="shared" si="1"/>
        <v>928611.62828000006</v>
      </c>
      <c r="N49" s="217">
        <f t="shared" si="2"/>
        <v>913851.98615364125</v>
      </c>
      <c r="O49" s="217">
        <f t="shared" si="9"/>
        <v>928611.62828000006</v>
      </c>
      <c r="P49" s="416"/>
      <c r="Q49" s="416"/>
      <c r="R49" s="188">
        <f t="shared" si="7"/>
        <v>838066.86549238639</v>
      </c>
      <c r="S49" s="188">
        <f t="shared" si="4"/>
        <v>838066.86549238639</v>
      </c>
    </row>
    <row r="50" spans="1:19" x14ac:dyDescent="0.2">
      <c r="A50" s="158">
        <f t="shared" si="8"/>
        <v>29</v>
      </c>
      <c r="B50" s="156" t="s">
        <v>93</v>
      </c>
      <c r="C50" s="151">
        <v>1</v>
      </c>
      <c r="D50" s="159" t="s">
        <v>77</v>
      </c>
      <c r="E50" s="181" t="s">
        <v>190</v>
      </c>
      <c r="F50" s="181" t="s">
        <v>190</v>
      </c>
      <c r="G50" s="217" t="str">
        <f>+CO1_MODIFICADA!F58</f>
        <v>N/A</v>
      </c>
      <c r="H50" s="217">
        <f>+'CO3'!F59</f>
        <v>174000</v>
      </c>
      <c r="I50" s="252">
        <f>+CO4AJUSTADA!G50</f>
        <v>4480000</v>
      </c>
      <c r="J50" s="217">
        <f>(540000*1.036)*1.0677</f>
        <v>597314.08800000011</v>
      </c>
      <c r="K50" s="217">
        <f>+'OPTIMA 2015'!F202</f>
        <v>500000</v>
      </c>
      <c r="L50" s="217">
        <f t="shared" si="5"/>
        <v>694624.35438858555</v>
      </c>
      <c r="M50" s="217">
        <f t="shared" si="1"/>
        <v>1437828.5220000001</v>
      </c>
      <c r="N50" s="217">
        <f t="shared" si="2"/>
        <v>694624.35438858555</v>
      </c>
      <c r="O50" s="217">
        <f t="shared" si="9"/>
        <v>1437828.5220000001</v>
      </c>
      <c r="P50" s="416"/>
      <c r="Q50" s="416"/>
      <c r="R50" s="188">
        <f t="shared" si="7"/>
        <v>1635838.3521118462</v>
      </c>
      <c r="S50" s="188">
        <f t="shared" si="4"/>
        <v>1635838.3521118462</v>
      </c>
    </row>
    <row r="51" spans="1:19" x14ac:dyDescent="0.2">
      <c r="A51" s="158">
        <f t="shared" si="8"/>
        <v>30</v>
      </c>
      <c r="B51" s="156" t="s">
        <v>94</v>
      </c>
      <c r="C51" s="151">
        <v>2</v>
      </c>
      <c r="D51" s="159" t="s">
        <v>77</v>
      </c>
      <c r="E51" s="181">
        <v>920000</v>
      </c>
      <c r="F51" s="181">
        <f>+E51*C51</f>
        <v>1840000</v>
      </c>
      <c r="G51" s="217">
        <f>+CO1_MODIFICADA!F59</f>
        <v>920000</v>
      </c>
      <c r="H51" s="217">
        <f>+'CO3'!F60</f>
        <v>1079340</v>
      </c>
      <c r="I51" s="252">
        <f>+CO4AJUSTADA!G51</f>
        <v>675780</v>
      </c>
      <c r="J51" s="217">
        <f>600000*1.036</f>
        <v>621600</v>
      </c>
      <c r="K51" s="217" t="s">
        <v>560</v>
      </c>
      <c r="L51" s="217">
        <f t="shared" si="5"/>
        <v>803647.52205477213</v>
      </c>
      <c r="M51" s="217">
        <f t="shared" si="1"/>
        <v>824180</v>
      </c>
      <c r="N51" s="217">
        <f t="shared" si="2"/>
        <v>1607295.0441095443</v>
      </c>
      <c r="O51" s="217">
        <f t="shared" si="9"/>
        <v>1648360</v>
      </c>
      <c r="P51" s="416"/>
      <c r="Q51" s="416"/>
      <c r="R51" s="188">
        <f t="shared" si="7"/>
        <v>648124.09922791796</v>
      </c>
      <c r="S51" s="188">
        <f t="shared" si="4"/>
        <v>1296248.1984558359</v>
      </c>
    </row>
    <row r="52" spans="1:19" x14ac:dyDescent="0.2">
      <c r="A52" s="158">
        <f t="shared" si="8"/>
        <v>31</v>
      </c>
      <c r="B52" s="156" t="s">
        <v>95</v>
      </c>
      <c r="C52" s="151">
        <v>2</v>
      </c>
      <c r="D52" s="159" t="s">
        <v>77</v>
      </c>
      <c r="E52" s="181" t="s">
        <v>190</v>
      </c>
      <c r="F52" s="181" t="s">
        <v>190</v>
      </c>
      <c r="G52" s="217" t="str">
        <f>+CO1_MODIFICADA!F60</f>
        <v>N/A</v>
      </c>
      <c r="H52" s="217">
        <f>+'CO3'!F61</f>
        <v>522000</v>
      </c>
      <c r="I52" s="252">
        <f>+CO4AJUSTADA!G52</f>
        <v>4760000</v>
      </c>
      <c r="J52" s="217">
        <f>+(1654000*1.0677)</f>
        <v>1765975.8</v>
      </c>
      <c r="K52" s="217">
        <f>+'OPTIMA 2015'!F204</f>
        <v>550000</v>
      </c>
      <c r="L52" s="217">
        <f t="shared" si="5"/>
        <v>1246396.5071728181</v>
      </c>
      <c r="M52" s="217">
        <f t="shared" si="1"/>
        <v>1899493.95</v>
      </c>
      <c r="N52" s="217">
        <f t="shared" si="2"/>
        <v>2492793.0143456361</v>
      </c>
      <c r="O52" s="217">
        <f t="shared" si="9"/>
        <v>3798987.9</v>
      </c>
      <c r="P52" s="416"/>
      <c r="Q52" s="416"/>
      <c r="R52" s="188">
        <f t="shared" si="7"/>
        <v>2899317.9901487175</v>
      </c>
      <c r="S52" s="188">
        <f t="shared" si="4"/>
        <v>5798635.9802974351</v>
      </c>
    </row>
    <row r="53" spans="1:19" hidden="1" x14ac:dyDescent="0.2">
      <c r="A53" s="158">
        <f t="shared" si="8"/>
        <v>32</v>
      </c>
      <c r="B53" s="156" t="s">
        <v>96</v>
      </c>
      <c r="C53" s="151">
        <v>1</v>
      </c>
      <c r="D53" s="159" t="s">
        <v>77</v>
      </c>
      <c r="E53" s="181"/>
      <c r="F53" s="181">
        <f t="shared" ref="F53:F58" si="10">+E53*C53</f>
        <v>0</v>
      </c>
      <c r="G53" s="217"/>
      <c r="H53" s="217"/>
      <c r="I53" s="252"/>
      <c r="J53" s="217"/>
      <c r="K53" s="217"/>
      <c r="L53" s="217"/>
      <c r="M53" s="217"/>
      <c r="N53" s="217"/>
      <c r="O53" s="217">
        <f t="shared" si="9"/>
        <v>0</v>
      </c>
      <c r="P53" s="416"/>
      <c r="Q53" s="416"/>
    </row>
    <row r="54" spans="1:19" hidden="1" x14ac:dyDescent="0.2">
      <c r="A54" s="158">
        <f t="shared" si="8"/>
        <v>33</v>
      </c>
      <c r="B54" s="156" t="s">
        <v>97</v>
      </c>
      <c r="C54" s="151">
        <v>1</v>
      </c>
      <c r="D54" s="159" t="s">
        <v>77</v>
      </c>
      <c r="E54" s="181"/>
      <c r="F54" s="181">
        <f t="shared" si="10"/>
        <v>0</v>
      </c>
      <c r="G54" s="217"/>
      <c r="H54" s="217"/>
      <c r="I54" s="252"/>
      <c r="J54" s="217"/>
      <c r="K54" s="217"/>
      <c r="L54" s="217"/>
      <c r="M54" s="217"/>
      <c r="N54" s="217"/>
      <c r="O54" s="217">
        <f t="shared" si="9"/>
        <v>0</v>
      </c>
      <c r="P54" s="416"/>
      <c r="Q54" s="416"/>
    </row>
    <row r="55" spans="1:19" hidden="1" x14ac:dyDescent="0.2">
      <c r="A55" s="158">
        <f t="shared" si="8"/>
        <v>34</v>
      </c>
      <c r="B55" s="156" t="s">
        <v>98</v>
      </c>
      <c r="C55" s="151">
        <v>1</v>
      </c>
      <c r="D55" s="159" t="s">
        <v>77</v>
      </c>
      <c r="E55" s="181"/>
      <c r="F55" s="181">
        <f t="shared" si="10"/>
        <v>0</v>
      </c>
      <c r="G55" s="217"/>
      <c r="H55" s="217"/>
      <c r="I55" s="252"/>
      <c r="J55" s="217"/>
      <c r="K55" s="217"/>
      <c r="L55" s="217"/>
      <c r="M55" s="217"/>
      <c r="N55" s="217"/>
      <c r="O55" s="217">
        <f t="shared" si="9"/>
        <v>0</v>
      </c>
      <c r="P55" s="416"/>
      <c r="Q55" s="416"/>
    </row>
    <row r="56" spans="1:19" hidden="1" x14ac:dyDescent="0.2">
      <c r="A56" s="158">
        <f t="shared" si="8"/>
        <v>35</v>
      </c>
      <c r="B56" s="156" t="s">
        <v>99</v>
      </c>
      <c r="C56" s="151">
        <v>1</v>
      </c>
      <c r="D56" s="159" t="s">
        <v>77</v>
      </c>
      <c r="E56" s="181"/>
      <c r="F56" s="181">
        <f t="shared" si="10"/>
        <v>0</v>
      </c>
      <c r="G56" s="217"/>
      <c r="H56" s="217"/>
      <c r="I56" s="252"/>
      <c r="J56" s="217"/>
      <c r="K56" s="217"/>
      <c r="L56" s="217"/>
      <c r="M56" s="217"/>
      <c r="N56" s="217"/>
      <c r="O56" s="217">
        <f t="shared" si="9"/>
        <v>0</v>
      </c>
      <c r="P56" s="416"/>
      <c r="Q56" s="416"/>
    </row>
    <row r="57" spans="1:19" hidden="1" x14ac:dyDescent="0.2">
      <c r="A57" s="158">
        <f t="shared" si="8"/>
        <v>36</v>
      </c>
      <c r="B57" s="156" t="s">
        <v>100</v>
      </c>
      <c r="C57" s="151">
        <v>1</v>
      </c>
      <c r="D57" s="159" t="s">
        <v>77</v>
      </c>
      <c r="E57" s="181"/>
      <c r="F57" s="181">
        <f t="shared" si="10"/>
        <v>0</v>
      </c>
      <c r="G57" s="217"/>
      <c r="H57" s="217"/>
      <c r="I57" s="252"/>
      <c r="J57" s="217"/>
      <c r="K57" s="217"/>
      <c r="L57" s="217"/>
      <c r="M57" s="217"/>
      <c r="N57" s="217"/>
      <c r="O57" s="217">
        <f t="shared" si="9"/>
        <v>0</v>
      </c>
      <c r="P57" s="416"/>
      <c r="Q57" s="416"/>
    </row>
    <row r="58" spans="1:19" x14ac:dyDescent="0.2">
      <c r="A58" s="158">
        <v>32</v>
      </c>
      <c r="B58" s="156" t="s">
        <v>155</v>
      </c>
      <c r="C58" s="151">
        <v>12500</v>
      </c>
      <c r="D58" s="159" t="s">
        <v>77</v>
      </c>
      <c r="E58" s="181">
        <v>3200</v>
      </c>
      <c r="F58" s="181">
        <f t="shared" si="10"/>
        <v>40000000</v>
      </c>
      <c r="G58" s="217">
        <f>+CO1_MODIFICADA!F66</f>
        <v>3200</v>
      </c>
      <c r="H58" s="217">
        <f>+'CO3'!F67</f>
        <v>4060</v>
      </c>
      <c r="I58" s="252">
        <f>+CO4AJUSTADA!G58</f>
        <v>4900</v>
      </c>
      <c r="J58" s="217">
        <f>2860*1.0677</f>
        <v>3053.6220000000003</v>
      </c>
      <c r="K58" s="217" t="s">
        <v>560</v>
      </c>
      <c r="L58" s="217">
        <f t="shared" si="5"/>
        <v>3733.9787490185377</v>
      </c>
      <c r="M58" s="217">
        <f t="shared" ref="M58:M71" si="11">+AVERAGE(G58:K58)</f>
        <v>3803.4054999999998</v>
      </c>
      <c r="N58" s="217">
        <f t="shared" ref="N58:N71" si="12">+L58*C58</f>
        <v>46674734.362731718</v>
      </c>
      <c r="O58" s="217">
        <f t="shared" si="9"/>
        <v>47542568.75</v>
      </c>
      <c r="P58" s="416"/>
      <c r="Q58" s="416"/>
      <c r="R58" s="188">
        <f>+GEOMEAN(I58:J58)</f>
        <v>3868.1711182417976</v>
      </c>
      <c r="S58" s="188">
        <f t="shared" ref="S58:S71" si="13">+R58*C58</f>
        <v>48352138.978022471</v>
      </c>
    </row>
    <row r="59" spans="1:19" x14ac:dyDescent="0.2">
      <c r="A59" s="271"/>
      <c r="B59" s="540" t="s">
        <v>257</v>
      </c>
      <c r="C59" s="541"/>
      <c r="D59" s="541"/>
      <c r="E59" s="541"/>
      <c r="F59" s="542"/>
      <c r="G59" s="279">
        <f>+'C01_INICIAL'!F68</f>
        <v>0</v>
      </c>
      <c r="H59" s="279"/>
      <c r="I59" s="279">
        <f>+'CO4'!F68</f>
        <v>0</v>
      </c>
      <c r="J59" s="279"/>
      <c r="K59" s="279"/>
      <c r="L59" s="279"/>
      <c r="M59" s="279">
        <f t="shared" si="11"/>
        <v>0</v>
      </c>
      <c r="N59" s="279">
        <f t="shared" si="12"/>
        <v>0</v>
      </c>
      <c r="O59" s="279">
        <f t="shared" si="9"/>
        <v>0</v>
      </c>
      <c r="P59" s="416"/>
      <c r="Q59" s="416"/>
      <c r="S59" s="188">
        <f t="shared" si="13"/>
        <v>0</v>
      </c>
    </row>
    <row r="60" spans="1:19" x14ac:dyDescent="0.2">
      <c r="A60" s="158">
        <v>1</v>
      </c>
      <c r="B60" s="156" t="s">
        <v>163</v>
      </c>
      <c r="C60" s="160">
        <v>1</v>
      </c>
      <c r="D60" s="159" t="s">
        <v>77</v>
      </c>
      <c r="E60" s="181">
        <v>1200000</v>
      </c>
      <c r="F60" s="181">
        <v>1200000</v>
      </c>
      <c r="G60" s="252">
        <f>+CO1_MODIFICADA!F68</f>
        <v>1200000</v>
      </c>
      <c r="H60" s="252">
        <f>+'CO3'!F69</f>
        <v>663917</v>
      </c>
      <c r="I60" s="252">
        <f>+CO4AJUSTADA!G60</f>
        <v>476050</v>
      </c>
      <c r="J60" s="217" t="s">
        <v>560</v>
      </c>
      <c r="K60" s="217" t="s">
        <v>560</v>
      </c>
      <c r="L60" s="217">
        <f t="shared" si="5"/>
        <v>723851.03809114045</v>
      </c>
      <c r="M60" s="217">
        <f t="shared" si="11"/>
        <v>779989</v>
      </c>
      <c r="N60" s="217">
        <f t="shared" si="12"/>
        <v>723851.03809114045</v>
      </c>
      <c r="O60" s="217">
        <f t="shared" si="9"/>
        <v>779989</v>
      </c>
      <c r="P60" s="416"/>
      <c r="Q60" s="416"/>
      <c r="R60" s="188">
        <f>+GEOMEAN(I60:J60)</f>
        <v>476050</v>
      </c>
      <c r="S60" s="188">
        <f t="shared" si="13"/>
        <v>476050</v>
      </c>
    </row>
    <row r="61" spans="1:19" x14ac:dyDescent="0.2">
      <c r="A61" s="158">
        <v>2</v>
      </c>
      <c r="B61" s="156" t="s">
        <v>164</v>
      </c>
      <c r="C61" s="160">
        <v>12500</v>
      </c>
      <c r="D61" s="159" t="s">
        <v>77</v>
      </c>
      <c r="E61" s="181">
        <v>270</v>
      </c>
      <c r="F61" s="181">
        <f>+E61*C61</f>
        <v>3375000</v>
      </c>
      <c r="G61" s="252">
        <f>+CO1_MODIFICADA!F69</f>
        <v>270</v>
      </c>
      <c r="H61" s="252">
        <f>+'CO3'!F70</f>
        <v>223.88</v>
      </c>
      <c r="I61" s="252">
        <f>+CO4AJUSTADA!G61</f>
        <v>605</v>
      </c>
      <c r="J61" s="217" t="s">
        <v>560</v>
      </c>
      <c r="K61" s="217">
        <v>5500</v>
      </c>
      <c r="L61" s="217">
        <f t="shared" si="5"/>
        <v>669.69072113787945</v>
      </c>
      <c r="M61" s="217">
        <f t="shared" si="11"/>
        <v>1649.72</v>
      </c>
      <c r="N61" s="217">
        <f t="shared" si="12"/>
        <v>8371134.0142234927</v>
      </c>
      <c r="O61" s="217">
        <f t="shared" si="9"/>
        <v>20621500</v>
      </c>
      <c r="P61" s="416" t="s">
        <v>649</v>
      </c>
      <c r="Q61" s="416"/>
      <c r="R61" s="188">
        <f>+GEOMEAN(I61:J61)</f>
        <v>605</v>
      </c>
      <c r="S61" s="188">
        <f t="shared" si="13"/>
        <v>7562500</v>
      </c>
    </row>
    <row r="62" spans="1:19" ht="25.5" x14ac:dyDescent="0.2">
      <c r="A62" s="158">
        <v>3</v>
      </c>
      <c r="B62" s="156" t="s">
        <v>167</v>
      </c>
      <c r="C62" s="160">
        <v>1</v>
      </c>
      <c r="D62" s="159" t="s">
        <v>77</v>
      </c>
      <c r="E62" s="181">
        <v>2500000</v>
      </c>
      <c r="F62" s="181">
        <v>2500000</v>
      </c>
      <c r="G62" s="252">
        <f>+CO1_MODIFICADA!F70</f>
        <v>2500000</v>
      </c>
      <c r="H62" s="252">
        <f>+'CO3'!F71</f>
        <v>360413</v>
      </c>
      <c r="I62" s="252">
        <f>+CO4AJUSTADA!G62</f>
        <v>760725</v>
      </c>
      <c r="J62" s="217" t="s">
        <v>560</v>
      </c>
      <c r="K62" s="217" t="s">
        <v>560</v>
      </c>
      <c r="L62" s="217">
        <f t="shared" si="5"/>
        <v>881703.80502081057</v>
      </c>
      <c r="M62" s="217">
        <f t="shared" si="11"/>
        <v>1207046</v>
      </c>
      <c r="N62" s="217">
        <f t="shared" si="12"/>
        <v>881703.80502081057</v>
      </c>
      <c r="O62" s="217">
        <f t="shared" si="9"/>
        <v>1207046</v>
      </c>
      <c r="P62" s="416"/>
      <c r="Q62" s="416"/>
      <c r="R62" s="188">
        <f>+GEOMEAN(I62:J62)</f>
        <v>760725</v>
      </c>
      <c r="S62" s="188">
        <f t="shared" si="13"/>
        <v>760725</v>
      </c>
    </row>
    <row r="63" spans="1:19" ht="25.5" x14ac:dyDescent="0.2">
      <c r="A63" s="158">
        <v>4</v>
      </c>
      <c r="B63" s="156" t="s">
        <v>168</v>
      </c>
      <c r="C63" s="160">
        <v>12500</v>
      </c>
      <c r="D63" s="159" t="s">
        <v>77</v>
      </c>
      <c r="E63" s="181">
        <v>2800</v>
      </c>
      <c r="F63" s="181">
        <f>+E63*C63</f>
        <v>35000000</v>
      </c>
      <c r="G63" s="252">
        <f>+CO1_MODIFICADA!F71</f>
        <v>2800</v>
      </c>
      <c r="H63" s="252">
        <f>+'CO3'!F72</f>
        <v>266.8</v>
      </c>
      <c r="I63" s="252">
        <f>+CO4AJUSTADA!G63</f>
        <v>372</v>
      </c>
      <c r="J63" s="217" t="s">
        <v>560</v>
      </c>
      <c r="K63" s="217">
        <v>5500</v>
      </c>
      <c r="L63" s="217">
        <f t="shared" si="5"/>
        <v>1111.8914008381716</v>
      </c>
      <c r="M63" s="217">
        <f t="shared" si="11"/>
        <v>2234.6999999999998</v>
      </c>
      <c r="N63" s="217">
        <f t="shared" si="12"/>
        <v>13898642.510477146</v>
      </c>
      <c r="O63" s="217">
        <f t="shared" si="9"/>
        <v>27933749.999999996</v>
      </c>
      <c r="P63" s="416" t="s">
        <v>649</v>
      </c>
      <c r="Q63" s="416"/>
      <c r="R63" s="188">
        <f>+GEOMEAN(I63:J63)</f>
        <v>372</v>
      </c>
      <c r="S63" s="188">
        <f t="shared" si="13"/>
        <v>4650000</v>
      </c>
    </row>
    <row r="64" spans="1:19" x14ac:dyDescent="0.2">
      <c r="A64" s="271"/>
      <c r="B64" s="272" t="s">
        <v>258</v>
      </c>
      <c r="C64" s="272"/>
      <c r="D64" s="272"/>
      <c r="E64" s="273"/>
      <c r="F64" s="273"/>
      <c r="G64" s="281">
        <f>+'C01_INICIAL'!F78</f>
        <v>0</v>
      </c>
      <c r="H64" s="281"/>
      <c r="I64" s="281">
        <f>+'CO4'!F78</f>
        <v>0</v>
      </c>
      <c r="J64" s="281"/>
      <c r="K64" s="281"/>
      <c r="L64" s="281"/>
      <c r="M64" s="281">
        <f t="shared" si="11"/>
        <v>0</v>
      </c>
      <c r="N64" s="281">
        <f t="shared" si="12"/>
        <v>0</v>
      </c>
      <c r="O64" s="281">
        <f t="shared" si="9"/>
        <v>0</v>
      </c>
      <c r="P64" s="416"/>
      <c r="Q64" s="416"/>
      <c r="S64" s="188">
        <f t="shared" si="13"/>
        <v>0</v>
      </c>
    </row>
    <row r="65" spans="1:21" x14ac:dyDescent="0.2">
      <c r="A65" s="158">
        <v>1</v>
      </c>
      <c r="B65" s="156" t="s">
        <v>253</v>
      </c>
      <c r="C65" s="151">
        <v>1</v>
      </c>
      <c r="D65" s="159" t="s">
        <v>106</v>
      </c>
      <c r="E65" s="181">
        <v>3200000</v>
      </c>
      <c r="F65" s="181">
        <f>+E65*C65</f>
        <v>3200000</v>
      </c>
      <c r="G65" s="252">
        <f>+CO1_MODIFICADA!F73</f>
        <v>3200000</v>
      </c>
      <c r="H65" s="252">
        <f>+'CO3'!F77</f>
        <v>35000000</v>
      </c>
      <c r="I65" s="252">
        <f>+CO4AJUSTADA!G65</f>
        <v>21890000</v>
      </c>
      <c r="J65" s="217" t="s">
        <v>560</v>
      </c>
      <c r="K65" s="217" t="s">
        <v>560</v>
      </c>
      <c r="L65" s="217">
        <f t="shared" si="5"/>
        <v>13484078.165690986</v>
      </c>
      <c r="M65" s="217">
        <f t="shared" si="11"/>
        <v>20030000</v>
      </c>
      <c r="N65" s="217">
        <f t="shared" si="12"/>
        <v>13484078.165690986</v>
      </c>
      <c r="O65" s="217">
        <f t="shared" si="9"/>
        <v>20030000</v>
      </c>
      <c r="P65" s="416"/>
      <c r="Q65" s="416"/>
      <c r="R65" s="188">
        <f>+GEOMEAN(I65:J65)</f>
        <v>21890000</v>
      </c>
      <c r="S65" s="188">
        <f t="shared" si="13"/>
        <v>21890000</v>
      </c>
    </row>
    <row r="66" spans="1:21" x14ac:dyDescent="0.2">
      <c r="A66" s="158">
        <v>2</v>
      </c>
      <c r="B66" s="156" t="s">
        <v>665</v>
      </c>
      <c r="C66" s="151">
        <v>1</v>
      </c>
      <c r="D66" s="159" t="s">
        <v>119</v>
      </c>
      <c r="E66" s="181">
        <v>15600000</v>
      </c>
      <c r="F66" s="181">
        <f>+E66*C66</f>
        <v>15600000</v>
      </c>
      <c r="G66" s="252">
        <f>+CO1_MODIFICADA!F74</f>
        <v>23200000</v>
      </c>
      <c r="H66" s="252">
        <f>+'CO3'!F78</f>
        <v>235000000</v>
      </c>
      <c r="I66" s="252">
        <f>+CO4AJUSTADA!G66</f>
        <v>49000000</v>
      </c>
      <c r="J66" s="217">
        <f>(16240000*1.036)*1.0677</f>
        <v>17963668.128000002</v>
      </c>
      <c r="K66" s="217" t="s">
        <v>560</v>
      </c>
      <c r="L66" s="217">
        <f t="shared" si="5"/>
        <v>46804405.959450647</v>
      </c>
      <c r="M66" s="217">
        <f t="shared" si="11"/>
        <v>81290917.032000005</v>
      </c>
      <c r="N66" s="217">
        <f t="shared" si="12"/>
        <v>46804405.959450647</v>
      </c>
      <c r="O66" s="217">
        <f t="shared" si="9"/>
        <v>81290917.032000005</v>
      </c>
      <c r="P66" s="416" t="s">
        <v>655</v>
      </c>
      <c r="Q66" s="416"/>
      <c r="R66" s="188">
        <f>+GEOMEAN(I66:J66)</f>
        <v>29668497.405025423</v>
      </c>
      <c r="S66" s="188">
        <f t="shared" si="13"/>
        <v>29668497.405025423</v>
      </c>
    </row>
    <row r="67" spans="1:21" x14ac:dyDescent="0.2">
      <c r="A67" s="158">
        <v>3</v>
      </c>
      <c r="B67" s="156" t="s">
        <v>120</v>
      </c>
      <c r="C67" s="160">
        <v>4000</v>
      </c>
      <c r="D67" s="159" t="s">
        <v>108</v>
      </c>
      <c r="E67" s="181">
        <v>900</v>
      </c>
      <c r="F67" s="181">
        <f>+E67*C67</f>
        <v>3600000</v>
      </c>
      <c r="G67" s="252">
        <f>+CO1_MODIFICADA!F75</f>
        <v>900</v>
      </c>
      <c r="H67" s="252"/>
      <c r="I67" s="252"/>
      <c r="J67" s="217"/>
      <c r="K67" s="217"/>
      <c r="L67" s="217"/>
      <c r="M67" s="217">
        <f t="shared" si="11"/>
        <v>900</v>
      </c>
      <c r="N67" s="217">
        <f t="shared" si="12"/>
        <v>0</v>
      </c>
      <c r="O67" s="217">
        <f t="shared" si="9"/>
        <v>3600000</v>
      </c>
      <c r="P67" s="416" t="s">
        <v>654</v>
      </c>
      <c r="Q67" s="416"/>
      <c r="R67" s="188" t="e">
        <f>+GEOMEAN(I67:J67)</f>
        <v>#NUM!</v>
      </c>
      <c r="S67" s="188" t="e">
        <f t="shared" si="13"/>
        <v>#NUM!</v>
      </c>
    </row>
    <row r="68" spans="1:21" x14ac:dyDescent="0.2">
      <c r="A68" s="266"/>
      <c r="B68" s="272" t="s">
        <v>254</v>
      </c>
      <c r="C68" s="267"/>
      <c r="D68" s="265"/>
      <c r="E68" s="268"/>
      <c r="F68" s="268"/>
      <c r="G68" s="279">
        <f>+'C01_INICIAL'!F84</f>
        <v>0</v>
      </c>
      <c r="H68" s="279"/>
      <c r="I68" s="279">
        <f>+'CO4'!F84</f>
        <v>0</v>
      </c>
      <c r="J68" s="279"/>
      <c r="K68" s="279"/>
      <c r="L68" s="279"/>
      <c r="M68" s="279">
        <f t="shared" si="11"/>
        <v>0</v>
      </c>
      <c r="N68" s="279">
        <f t="shared" si="12"/>
        <v>0</v>
      </c>
      <c r="O68" s="279">
        <f t="shared" si="9"/>
        <v>0</v>
      </c>
      <c r="P68" s="416"/>
      <c r="Q68" s="416"/>
      <c r="S68" s="188">
        <f t="shared" si="13"/>
        <v>0</v>
      </c>
    </row>
    <row r="69" spans="1:21" ht="12" customHeight="1" x14ac:dyDescent="0.2">
      <c r="A69" s="146">
        <v>1</v>
      </c>
      <c r="B69" s="147" t="s">
        <v>162</v>
      </c>
      <c r="C69" s="148">
        <v>1</v>
      </c>
      <c r="D69" s="166" t="s">
        <v>77</v>
      </c>
      <c r="E69" s="184">
        <v>100000000</v>
      </c>
      <c r="F69" s="181">
        <v>100000000</v>
      </c>
      <c r="G69" s="217">
        <f>+CO1_MODIFICADA!F79</f>
        <v>100000000</v>
      </c>
      <c r="H69" s="217">
        <f>+'CO3'!F83</f>
        <v>96000000</v>
      </c>
      <c r="I69" s="252">
        <f>+CO4AJUSTADA!G69</f>
        <v>95500000</v>
      </c>
      <c r="J69" s="252">
        <v>95226900</v>
      </c>
      <c r="K69" s="252" t="s">
        <v>560</v>
      </c>
      <c r="L69" s="217">
        <f t="shared" ref="L69" si="14">+GEOMEAN(G69:K69)</f>
        <v>96662620.105915993</v>
      </c>
      <c r="M69" s="217">
        <f t="shared" si="11"/>
        <v>96681725</v>
      </c>
      <c r="N69" s="217">
        <f t="shared" si="12"/>
        <v>96662620.105915993</v>
      </c>
      <c r="O69" s="217">
        <f t="shared" si="9"/>
        <v>96681725</v>
      </c>
      <c r="P69" s="416" t="s">
        <v>656</v>
      </c>
      <c r="Q69" s="416"/>
      <c r="R69" s="188">
        <f>+GEOMEAN(I69:J69)</f>
        <v>95363352.237638965</v>
      </c>
      <c r="S69" s="188">
        <f t="shared" si="13"/>
        <v>95363352.237638965</v>
      </c>
    </row>
    <row r="70" spans="1:21" x14ac:dyDescent="0.2">
      <c r="A70" s="275"/>
      <c r="B70" s="283" t="s">
        <v>255</v>
      </c>
      <c r="C70" s="283"/>
      <c r="D70" s="283"/>
      <c r="E70" s="273"/>
      <c r="F70" s="273"/>
      <c r="G70" s="281">
        <f>+'C01_INICIAL'!F86</f>
        <v>0</v>
      </c>
      <c r="H70" s="281"/>
      <c r="I70" s="281">
        <f>+'CO4'!F86</f>
        <v>0</v>
      </c>
      <c r="J70" s="281"/>
      <c r="K70" s="281"/>
      <c r="L70" s="281"/>
      <c r="M70" s="281">
        <f t="shared" si="11"/>
        <v>0</v>
      </c>
      <c r="N70" s="281">
        <f t="shared" si="12"/>
        <v>0</v>
      </c>
      <c r="O70" s="281">
        <f t="shared" si="9"/>
        <v>0</v>
      </c>
      <c r="P70" s="416"/>
      <c r="Q70" s="416"/>
      <c r="S70" s="188">
        <f t="shared" si="13"/>
        <v>0</v>
      </c>
    </row>
    <row r="71" spans="1:21" x14ac:dyDescent="0.2">
      <c r="A71" s="146">
        <v>1</v>
      </c>
      <c r="B71" s="156" t="s">
        <v>103</v>
      </c>
      <c r="C71" s="151">
        <v>10</v>
      </c>
      <c r="D71" s="154" t="s">
        <v>105</v>
      </c>
      <c r="E71" s="184">
        <v>35000000</v>
      </c>
      <c r="F71" s="181">
        <f>C71*E71</f>
        <v>350000000</v>
      </c>
      <c r="G71" s="252">
        <f>+CO1_MODIFICADA!F81</f>
        <v>35000000</v>
      </c>
      <c r="H71" s="252">
        <f>+'CO3'!F85</f>
        <v>11210000</v>
      </c>
      <c r="I71" s="252">
        <f>+CO4AJUSTADA!G71</f>
        <v>8690000</v>
      </c>
      <c r="J71" s="217">
        <f>7768133*1.0677</f>
        <v>8294035.604100001</v>
      </c>
      <c r="K71" s="217">
        <v>3500000</v>
      </c>
      <c r="L71" s="217">
        <f t="shared" ref="L71" si="15">+GEOMEAN(G71:K71)</f>
        <v>9979423.9895822164</v>
      </c>
      <c r="M71" s="217">
        <f t="shared" si="11"/>
        <v>13338807.120820001</v>
      </c>
      <c r="N71" s="217">
        <f t="shared" si="12"/>
        <v>99794239.895822167</v>
      </c>
      <c r="O71" s="217">
        <f t="shared" si="9"/>
        <v>133388071.20820001</v>
      </c>
      <c r="P71" s="416"/>
      <c r="Q71" s="416"/>
      <c r="R71" s="188">
        <f>+GEOMEAN(I71:J71)</f>
        <v>8489709.6180981956</v>
      </c>
      <c r="S71" s="188">
        <f t="shared" si="13"/>
        <v>84897096.180981964</v>
      </c>
    </row>
    <row r="72" spans="1:21" x14ac:dyDescent="0.2">
      <c r="A72" s="284"/>
      <c r="B72" s="283" t="s">
        <v>245</v>
      </c>
      <c r="C72" s="285"/>
      <c r="D72" s="264"/>
      <c r="E72" s="286"/>
      <c r="F72" s="286"/>
      <c r="G72" s="281">
        <f>+SUM(G12:G71)</f>
        <v>328639200</v>
      </c>
      <c r="H72" s="281">
        <f>+SUM(H12:H71)</f>
        <v>656132433.22000003</v>
      </c>
      <c r="I72" s="281">
        <f>+SUM(I12:I71)</f>
        <v>363708249</v>
      </c>
      <c r="J72" s="281">
        <f t="shared" ref="J72:N72" si="16">+SUM(J12:J71)</f>
        <v>302025588.95716798</v>
      </c>
      <c r="K72" s="281">
        <f t="shared" si="16"/>
        <v>42299320</v>
      </c>
      <c r="L72" s="281"/>
      <c r="M72" s="281"/>
      <c r="N72" s="281">
        <f t="shared" si="16"/>
        <v>1120782412.5858612</v>
      </c>
      <c r="O72" s="281">
        <f>+SUM(O12:O71)</f>
        <v>1369361063.3769701</v>
      </c>
      <c r="R72" s="188" t="e">
        <f>+SUM(R12:R71)</f>
        <v>#NUM!</v>
      </c>
      <c r="S72" s="188" t="e">
        <f>+SUM(S12:S71)</f>
        <v>#NUM!</v>
      </c>
      <c r="U72" s="137">
        <f>+O79-T72</f>
        <v>0</v>
      </c>
    </row>
    <row r="73" spans="1:21" hidden="1" x14ac:dyDescent="0.2">
      <c r="A73" s="270"/>
      <c r="B73" s="287" t="s">
        <v>244</v>
      </c>
      <c r="C73" s="282"/>
      <c r="D73" s="287"/>
      <c r="E73" s="268"/>
      <c r="F73" s="268"/>
      <c r="G73" s="279">
        <f>+'C01_INICIAL'!F88</f>
        <v>0</v>
      </c>
      <c r="H73" s="279"/>
      <c r="I73" s="279">
        <f>+'CO4'!F88</f>
        <v>0</v>
      </c>
      <c r="J73" s="279"/>
      <c r="K73" s="279"/>
      <c r="L73" s="398"/>
      <c r="M73" s="398"/>
      <c r="N73" s="279"/>
      <c r="O73" s="279"/>
      <c r="R73" s="188" t="e">
        <f>+GEOMEAN(I73:J73)</f>
        <v>#NUM!</v>
      </c>
    </row>
    <row r="74" spans="1:21" hidden="1" x14ac:dyDescent="0.2">
      <c r="A74" s="288"/>
      <c r="B74" s="282" t="s">
        <v>246</v>
      </c>
      <c r="C74" s="289">
        <v>10</v>
      </c>
      <c r="D74" s="269" t="s">
        <v>105</v>
      </c>
      <c r="E74" s="290"/>
      <c r="F74" s="290"/>
      <c r="G74" s="291">
        <f>+(R80*0.1)</f>
        <v>0</v>
      </c>
      <c r="H74" s="291"/>
      <c r="I74" s="279"/>
      <c r="J74" s="279"/>
      <c r="K74" s="279"/>
      <c r="L74" s="279"/>
      <c r="M74" s="279"/>
      <c r="N74" s="279">
        <f>+N79*0.07</f>
        <v>0</v>
      </c>
      <c r="O74" s="279">
        <f>+O79*0.07</f>
        <v>0</v>
      </c>
      <c r="R74" s="188" t="e">
        <f>+GEOMEAN(I74:J74)</f>
        <v>#NUM!</v>
      </c>
    </row>
    <row r="75" spans="1:21" x14ac:dyDescent="0.2">
      <c r="A75" s="284"/>
      <c r="B75" s="283" t="s">
        <v>248</v>
      </c>
      <c r="C75" s="285"/>
      <c r="D75" s="264"/>
      <c r="E75" s="286"/>
      <c r="F75" s="286"/>
      <c r="G75" s="292"/>
      <c r="H75" s="292"/>
      <c r="I75" s="281"/>
      <c r="J75" s="281"/>
      <c r="K75" s="281"/>
      <c r="L75" s="281"/>
      <c r="M75" s="281"/>
      <c r="N75" s="281">
        <f>+N72/1.16</f>
        <v>966191734.98781145</v>
      </c>
      <c r="O75" s="281">
        <f>+O72/1.16</f>
        <v>1180483675.3249743</v>
      </c>
    </row>
    <row r="76" spans="1:21" x14ac:dyDescent="0.2">
      <c r="A76" s="288"/>
      <c r="B76" s="282" t="s">
        <v>247</v>
      </c>
      <c r="C76" s="289"/>
      <c r="D76" s="269"/>
      <c r="E76" s="290"/>
      <c r="F76" s="290"/>
      <c r="G76" s="279"/>
      <c r="H76" s="279"/>
      <c r="I76" s="279"/>
      <c r="J76" s="279"/>
      <c r="K76" s="279"/>
      <c r="L76" s="279"/>
      <c r="M76" s="279"/>
      <c r="N76" s="279">
        <f>+N75*0.07</f>
        <v>67633421.449146807</v>
      </c>
      <c r="O76" s="279">
        <f>+O75*0.07</f>
        <v>82633857.272748202</v>
      </c>
    </row>
    <row r="77" spans="1:21" x14ac:dyDescent="0.2">
      <c r="A77" s="288"/>
      <c r="B77" s="282" t="s">
        <v>249</v>
      </c>
      <c r="C77" s="289"/>
      <c r="D77" s="269"/>
      <c r="E77" s="290"/>
      <c r="F77" s="290"/>
      <c r="G77" s="279"/>
      <c r="H77" s="279"/>
      <c r="I77" s="279"/>
      <c r="J77" s="279"/>
      <c r="K77" s="279"/>
      <c r="L77" s="279"/>
      <c r="M77" s="279"/>
      <c r="N77" s="279">
        <f>+N76+N75</f>
        <v>1033825156.4369583</v>
      </c>
      <c r="O77" s="279">
        <f>+O76+O75</f>
        <v>1263117532.5977225</v>
      </c>
    </row>
    <row r="78" spans="1:21" x14ac:dyDescent="0.2">
      <c r="A78" s="258"/>
      <c r="B78" s="259" t="s">
        <v>250</v>
      </c>
      <c r="C78" s="260"/>
      <c r="D78" s="139"/>
      <c r="E78" s="261"/>
      <c r="F78" s="261"/>
      <c r="G78" s="262"/>
      <c r="H78" s="262"/>
      <c r="I78" s="262"/>
      <c r="J78" s="262"/>
      <c r="K78" s="262"/>
      <c r="L78" s="262"/>
      <c r="M78" s="262"/>
      <c r="N78" s="262">
        <f>+N77*1.16</f>
        <v>1199237181.4668715</v>
      </c>
      <c r="O78" s="262">
        <f>+O77*1.16</f>
        <v>1465216337.8133581</v>
      </c>
    </row>
    <row r="79" spans="1:21" x14ac:dyDescent="0.2">
      <c r="P79" s="188"/>
      <c r="Q79" s="188"/>
    </row>
    <row r="80" spans="1:21" x14ac:dyDescent="0.2">
      <c r="P80" s="416" t="s">
        <v>650</v>
      </c>
      <c r="Q80" s="416"/>
    </row>
    <row r="81" spans="15:17" x14ac:dyDescent="0.2">
      <c r="O81" s="263"/>
      <c r="P81" s="416" t="s">
        <v>650</v>
      </c>
      <c r="Q81" s="416"/>
    </row>
    <row r="82" spans="15:17" x14ac:dyDescent="0.2">
      <c r="P82" s="416" t="s">
        <v>651</v>
      </c>
      <c r="Q82" s="416"/>
    </row>
    <row r="83" spans="15:17" x14ac:dyDescent="0.2">
      <c r="P83" s="416" t="s">
        <v>652</v>
      </c>
      <c r="Q83" s="416"/>
    </row>
    <row r="84" spans="15:17" x14ac:dyDescent="0.2">
      <c r="P84" s="416" t="s">
        <v>274</v>
      </c>
      <c r="Q84" s="416"/>
    </row>
    <row r="85" spans="15:17" x14ac:dyDescent="0.2">
      <c r="P85" s="416" t="s">
        <v>277</v>
      </c>
      <c r="Q85" s="416"/>
    </row>
    <row r="86" spans="15:17" x14ac:dyDescent="0.2">
      <c r="P86" s="416" t="s">
        <v>281</v>
      </c>
      <c r="Q86" s="416"/>
    </row>
    <row r="87" spans="15:17" x14ac:dyDescent="0.2">
      <c r="P87" s="416" t="s">
        <v>281</v>
      </c>
      <c r="Q87" s="416"/>
    </row>
    <row r="88" spans="15:17" x14ac:dyDescent="0.2">
      <c r="P88" s="416" t="s">
        <v>285</v>
      </c>
      <c r="Q88" s="416"/>
    </row>
    <row r="89" spans="15:17" x14ac:dyDescent="0.2">
      <c r="P89" s="416" t="s">
        <v>289</v>
      </c>
      <c r="Q89" s="416"/>
    </row>
    <row r="90" spans="15:17" x14ac:dyDescent="0.2">
      <c r="P90" s="416" t="s">
        <v>292</v>
      </c>
      <c r="Q90" s="416"/>
    </row>
    <row r="91" spans="15:17" x14ac:dyDescent="0.2">
      <c r="P91" s="416" t="s">
        <v>295</v>
      </c>
      <c r="Q91" s="416"/>
    </row>
    <row r="92" spans="15:17" x14ac:dyDescent="0.2">
      <c r="P92" s="416" t="s">
        <v>602</v>
      </c>
      <c r="Q92" s="416"/>
    </row>
    <row r="93" spans="15:17" x14ac:dyDescent="0.2">
      <c r="P93" s="416" t="s">
        <v>602</v>
      </c>
      <c r="Q93" s="416"/>
    </row>
    <row r="94" spans="15:17" ht="15.75" customHeight="1" x14ac:dyDescent="0.2">
      <c r="P94" s="416" t="s">
        <v>607</v>
      </c>
      <c r="Q94" s="416"/>
    </row>
    <row r="95" spans="15:17" x14ac:dyDescent="0.2">
      <c r="P95" s="416" t="s">
        <v>611</v>
      </c>
      <c r="Q95" s="416"/>
    </row>
    <row r="96" spans="15:17" ht="25.5" x14ac:dyDescent="0.2">
      <c r="P96" s="416" t="s">
        <v>616</v>
      </c>
      <c r="Q96" s="416"/>
    </row>
    <row r="97" spans="16:17" ht="12.75" customHeight="1" x14ac:dyDescent="0.2">
      <c r="P97" s="416" t="s">
        <v>653</v>
      </c>
      <c r="Q97" s="416"/>
    </row>
    <row r="98" spans="16:17" ht="13.5" customHeight="1" x14ac:dyDescent="0.2">
      <c r="P98" s="416"/>
      <c r="Q98" s="416"/>
    </row>
    <row r="99" spans="16:17" x14ac:dyDescent="0.2">
      <c r="P99" s="416" t="s">
        <v>653</v>
      </c>
      <c r="Q99" s="416"/>
    </row>
  </sheetData>
  <mergeCells count="3">
    <mergeCell ref="A9:B9"/>
    <mergeCell ref="B59:F59"/>
    <mergeCell ref="A8:O8"/>
  </mergeCells>
  <pageMargins left="0.25" right="0.25" top="0.75" bottom="0.75" header="0.3" footer="0.3"/>
  <pageSetup scale="59" fitToHeight="0" orientation="landscape" r:id="rId1"/>
  <ignoredErrors>
    <ignoredError sqref="J49 R72"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8"/>
  <sheetViews>
    <sheetView tabSelected="1" view="pageBreakPreview" zoomScale="85" zoomScaleNormal="85" zoomScaleSheetLayoutView="85" zoomScalePageLayoutView="125" workbookViewId="0">
      <pane ySplit="6" topLeftCell="A7" activePane="bottomLeft" state="frozen"/>
      <selection pane="bottomLeft" activeCell="H67" sqref="H67"/>
    </sheetView>
  </sheetViews>
  <sheetFormatPr baseColWidth="10" defaultColWidth="10.85546875" defaultRowHeight="12.75" x14ac:dyDescent="0.2"/>
  <cols>
    <col min="1" max="1" width="7.42578125" style="187" bestFit="1" customWidth="1"/>
    <col min="2" max="2" width="51.42578125" style="173" customWidth="1"/>
    <col min="3" max="3" width="14.140625" style="438" customWidth="1"/>
    <col min="4" max="4" width="16.140625" style="174" customWidth="1"/>
    <col min="5" max="5" width="15.7109375" style="178" hidden="1" customWidth="1"/>
    <col min="6" max="6" width="20.28515625" style="178" hidden="1" customWidth="1"/>
    <col min="7" max="10" width="14.140625" style="215" customWidth="1"/>
    <col min="11" max="12" width="14.85546875" style="215" hidden="1" customWidth="1"/>
    <col min="13" max="13" width="13.42578125" style="137" bestFit="1" customWidth="1"/>
    <col min="14" max="14" width="11.5703125" style="137" bestFit="1" customWidth="1"/>
    <col min="15" max="16384" width="10.85546875" style="137"/>
  </cols>
  <sheetData>
    <row r="1" spans="1:13" x14ac:dyDescent="0.2">
      <c r="B1" s="213"/>
    </row>
    <row r="2" spans="1:13" hidden="1" x14ac:dyDescent="0.2">
      <c r="B2" s="213" t="s">
        <v>192</v>
      </c>
    </row>
    <row r="3" spans="1:13" hidden="1" x14ac:dyDescent="0.2">
      <c r="B3" s="213" t="s">
        <v>194</v>
      </c>
    </row>
    <row r="4" spans="1:13" hidden="1" x14ac:dyDescent="0.2">
      <c r="B4" s="214" t="s">
        <v>161</v>
      </c>
    </row>
    <row r="5" spans="1:13" hidden="1" x14ac:dyDescent="0.2">
      <c r="B5" s="213" t="s">
        <v>160</v>
      </c>
    </row>
    <row r="6" spans="1:13" hidden="1" x14ac:dyDescent="0.2">
      <c r="B6" s="213" t="s">
        <v>193</v>
      </c>
    </row>
    <row r="7" spans="1:13" ht="18.75" customHeight="1" x14ac:dyDescent="0.2">
      <c r="A7" s="655" t="s">
        <v>672</v>
      </c>
      <c r="B7" s="656"/>
      <c r="C7" s="656"/>
      <c r="D7" s="656"/>
      <c r="E7" s="656"/>
      <c r="F7" s="656"/>
      <c r="G7" s="656"/>
      <c r="H7" s="656"/>
      <c r="I7" s="656"/>
      <c r="J7" s="656"/>
      <c r="K7" s="656"/>
      <c r="L7" s="656"/>
    </row>
    <row r="8" spans="1:13" ht="15" customHeight="1" x14ac:dyDescent="0.2">
      <c r="A8" s="649" t="s">
        <v>129</v>
      </c>
      <c r="B8" s="650" t="s">
        <v>677</v>
      </c>
      <c r="C8" s="651" t="s">
        <v>679</v>
      </c>
      <c r="D8" s="651" t="s">
        <v>678</v>
      </c>
      <c r="E8" s="290"/>
      <c r="F8" s="290"/>
      <c r="G8" s="649" t="s">
        <v>2</v>
      </c>
      <c r="H8" s="649" t="s">
        <v>674</v>
      </c>
      <c r="I8" s="649" t="s">
        <v>673</v>
      </c>
      <c r="J8" s="649" t="s">
        <v>675</v>
      </c>
    </row>
    <row r="9" spans="1:13" ht="36.75" customHeight="1" x14ac:dyDescent="0.2">
      <c r="A9" s="649"/>
      <c r="B9" s="650"/>
      <c r="C9" s="651"/>
      <c r="D9" s="651"/>
      <c r="E9" s="601"/>
      <c r="F9" s="601"/>
      <c r="G9" s="649"/>
      <c r="H9" s="649"/>
      <c r="I9" s="649"/>
      <c r="J9" s="649"/>
      <c r="K9" s="648" t="s">
        <v>666</v>
      </c>
      <c r="L9" s="645" t="s">
        <v>646</v>
      </c>
    </row>
    <row r="10" spans="1:13" ht="15.75" customHeight="1" x14ac:dyDescent="0.2">
      <c r="A10" s="659"/>
      <c r="B10" s="652" t="s">
        <v>170</v>
      </c>
      <c r="C10" s="653"/>
      <c r="D10" s="653"/>
      <c r="E10" s="653"/>
      <c r="F10" s="653"/>
      <c r="G10" s="653"/>
      <c r="H10" s="653"/>
      <c r="I10" s="653"/>
      <c r="J10" s="654"/>
      <c r="K10" s="645"/>
      <c r="L10" s="645"/>
    </row>
    <row r="11" spans="1:13" ht="25.5" x14ac:dyDescent="0.2">
      <c r="A11" s="660" t="s">
        <v>680</v>
      </c>
      <c r="B11" s="602" t="s">
        <v>127</v>
      </c>
      <c r="C11" s="666">
        <v>3</v>
      </c>
      <c r="D11" s="603" t="s">
        <v>110</v>
      </c>
      <c r="E11" s="604">
        <v>29700000</v>
      </c>
      <c r="F11" s="604">
        <f t="shared" ref="F11:F19" si="0">+E11*C11</f>
        <v>89100000</v>
      </c>
      <c r="G11" s="605"/>
      <c r="H11" s="605">
        <f>+K11/1.16</f>
        <v>23694571.510936901</v>
      </c>
      <c r="I11" s="605">
        <f>+G11*C11</f>
        <v>0</v>
      </c>
      <c r="J11" s="605">
        <f>C11*H11</f>
        <v>71083714.532810703</v>
      </c>
      <c r="K11" s="605">
        <v>27485702.952686802</v>
      </c>
      <c r="L11" s="605">
        <v>82457108.8580603</v>
      </c>
      <c r="M11" s="436"/>
    </row>
    <row r="12" spans="1:13" ht="25.5" x14ac:dyDescent="0.2">
      <c r="A12" s="660">
        <v>2</v>
      </c>
      <c r="B12" s="602" t="s">
        <v>128</v>
      </c>
      <c r="C12" s="666">
        <v>4</v>
      </c>
      <c r="D12" s="603" t="s">
        <v>110</v>
      </c>
      <c r="E12" s="604">
        <v>29400000</v>
      </c>
      <c r="F12" s="604">
        <f t="shared" si="0"/>
        <v>117600000</v>
      </c>
      <c r="G12" s="605"/>
      <c r="H12" s="605">
        <f>+K12/1.16</f>
        <v>18536971.942406006</v>
      </c>
      <c r="I12" s="605">
        <f>+G12*C12</f>
        <v>0</v>
      </c>
      <c r="J12" s="605">
        <f t="shared" ref="J12:J72" si="1">C12*H12</f>
        <v>74147887.769624025</v>
      </c>
      <c r="K12" s="605">
        <v>21502887.453190964</v>
      </c>
      <c r="L12" s="605">
        <v>86011549.812763855</v>
      </c>
      <c r="M12" s="436"/>
    </row>
    <row r="13" spans="1:13" x14ac:dyDescent="0.2">
      <c r="A13" s="660">
        <v>3</v>
      </c>
      <c r="B13" s="602" t="s">
        <v>186</v>
      </c>
      <c r="C13" s="666">
        <v>5</v>
      </c>
      <c r="D13" s="603" t="s">
        <v>110</v>
      </c>
      <c r="E13" s="604">
        <v>7300000</v>
      </c>
      <c r="F13" s="604">
        <f t="shared" si="0"/>
        <v>36500000</v>
      </c>
      <c r="G13" s="605"/>
      <c r="H13" s="605">
        <f>+K13/1.16</f>
        <v>9049448.9035757631</v>
      </c>
      <c r="I13" s="605">
        <f>+G13*C13</f>
        <v>0</v>
      </c>
      <c r="J13" s="605">
        <f t="shared" si="1"/>
        <v>45247244.517878816</v>
      </c>
      <c r="K13" s="605">
        <v>10497360.728147885</v>
      </c>
      <c r="L13" s="605">
        <v>52486803.640739426</v>
      </c>
      <c r="M13" s="436"/>
    </row>
    <row r="14" spans="1:13" x14ac:dyDescent="0.2">
      <c r="A14" s="660">
        <v>4</v>
      </c>
      <c r="B14" s="602" t="s">
        <v>187</v>
      </c>
      <c r="C14" s="666">
        <v>5</v>
      </c>
      <c r="D14" s="603" t="s">
        <v>110</v>
      </c>
      <c r="E14" s="604">
        <v>5400000</v>
      </c>
      <c r="F14" s="604">
        <f t="shared" si="0"/>
        <v>27000000</v>
      </c>
      <c r="G14" s="605"/>
      <c r="H14" s="605">
        <f>+K14/1.16</f>
        <v>12139798.595381018</v>
      </c>
      <c r="I14" s="605">
        <f>+G14*C14</f>
        <v>0</v>
      </c>
      <c r="J14" s="605">
        <f t="shared" si="1"/>
        <v>60698992.976905093</v>
      </c>
      <c r="K14" s="605">
        <v>14082166.37064198</v>
      </c>
      <c r="L14" s="605">
        <v>70410831.853209898</v>
      </c>
      <c r="M14" s="436"/>
    </row>
    <row r="15" spans="1:13" x14ac:dyDescent="0.2">
      <c r="A15" s="660">
        <v>5</v>
      </c>
      <c r="B15" s="602" t="s">
        <v>113</v>
      </c>
      <c r="C15" s="666">
        <v>4</v>
      </c>
      <c r="D15" s="603" t="s">
        <v>77</v>
      </c>
      <c r="E15" s="604">
        <v>21000000</v>
      </c>
      <c r="F15" s="604">
        <f t="shared" si="0"/>
        <v>84000000</v>
      </c>
      <c r="G15" s="605"/>
      <c r="H15" s="605">
        <f>+K15/1.16</f>
        <v>31036681.767157976</v>
      </c>
      <c r="I15" s="605">
        <f>+G15*C15</f>
        <v>0</v>
      </c>
      <c r="J15" s="605">
        <f t="shared" si="1"/>
        <v>124146727.0686319</v>
      </c>
      <c r="K15" s="605">
        <v>36002550.849903248</v>
      </c>
      <c r="L15" s="605">
        <v>144010203.39961299</v>
      </c>
      <c r="M15" s="436"/>
    </row>
    <row r="16" spans="1:13" x14ac:dyDescent="0.2">
      <c r="A16" s="660">
        <v>6</v>
      </c>
      <c r="B16" s="602" t="s">
        <v>107</v>
      </c>
      <c r="C16" s="666">
        <v>11</v>
      </c>
      <c r="D16" s="603" t="s">
        <v>681</v>
      </c>
      <c r="E16" s="604">
        <v>14500000</v>
      </c>
      <c r="F16" s="604">
        <f t="shared" si="0"/>
        <v>159500000</v>
      </c>
      <c r="G16" s="605"/>
      <c r="H16" s="605">
        <f>+K16/1.16</f>
        <v>18496315.789843459</v>
      </c>
      <c r="I16" s="605">
        <f>+G16*C16</f>
        <v>0</v>
      </c>
      <c r="J16" s="605">
        <f t="shared" si="1"/>
        <v>203459473.68827805</v>
      </c>
      <c r="K16" s="605">
        <v>21455726.31621841</v>
      </c>
      <c r="L16" s="605">
        <v>236012989.4784025</v>
      </c>
      <c r="M16" s="436"/>
    </row>
    <row r="17" spans="1:13" x14ac:dyDescent="0.2">
      <c r="A17" s="660">
        <v>7</v>
      </c>
      <c r="B17" s="602" t="s">
        <v>151</v>
      </c>
      <c r="C17" s="666">
        <v>2</v>
      </c>
      <c r="D17" s="603" t="s">
        <v>682</v>
      </c>
      <c r="E17" s="604">
        <v>15400000</v>
      </c>
      <c r="F17" s="604">
        <f t="shared" si="0"/>
        <v>30800000</v>
      </c>
      <c r="G17" s="605"/>
      <c r="H17" s="605">
        <f>+K17/1.16</f>
        <v>8130796.9601137284</v>
      </c>
      <c r="I17" s="605">
        <f>+G17*C17</f>
        <v>0</v>
      </c>
      <c r="J17" s="605">
        <f t="shared" si="1"/>
        <v>16261593.920227457</v>
      </c>
      <c r="K17" s="605">
        <v>9431724.4737319238</v>
      </c>
      <c r="L17" s="605">
        <v>18863448.947463848</v>
      </c>
      <c r="M17" s="436"/>
    </row>
    <row r="18" spans="1:13" ht="13.5" thickBot="1" x14ac:dyDescent="0.25">
      <c r="A18" s="660">
        <v>8</v>
      </c>
      <c r="B18" s="602" t="s">
        <v>176</v>
      </c>
      <c r="C18" s="666">
        <v>2</v>
      </c>
      <c r="D18" s="603" t="s">
        <v>682</v>
      </c>
      <c r="E18" s="604">
        <v>21000000</v>
      </c>
      <c r="F18" s="604">
        <f t="shared" si="0"/>
        <v>42000000</v>
      </c>
      <c r="G18" s="605"/>
      <c r="H18" s="605">
        <f>+K18/1.16</f>
        <v>14047300.334678441</v>
      </c>
      <c r="I18" s="605">
        <f>+G18*C18</f>
        <v>0</v>
      </c>
      <c r="J18" s="605">
        <f t="shared" si="1"/>
        <v>28094600.669356883</v>
      </c>
      <c r="K18" s="605">
        <v>16294868.388226992</v>
      </c>
      <c r="L18" s="605">
        <v>32589736.776453983</v>
      </c>
      <c r="M18" s="436"/>
    </row>
    <row r="19" spans="1:13" x14ac:dyDescent="0.2">
      <c r="A19" s="660">
        <v>9</v>
      </c>
      <c r="B19" s="602" t="s">
        <v>144</v>
      </c>
      <c r="C19" s="666">
        <v>8</v>
      </c>
      <c r="D19" s="602" t="s">
        <v>145</v>
      </c>
      <c r="E19" s="606">
        <v>5000000</v>
      </c>
      <c r="F19" s="604">
        <f t="shared" si="0"/>
        <v>40000000</v>
      </c>
      <c r="G19" s="605"/>
      <c r="H19" s="605">
        <f>+K19/1.16</f>
        <v>1420646.2716492917</v>
      </c>
      <c r="I19" s="605">
        <f>+G19*C19</f>
        <v>0</v>
      </c>
      <c r="J19" s="605">
        <f t="shared" si="1"/>
        <v>11365170.173194334</v>
      </c>
      <c r="K19" s="605">
        <v>1647949.6751131783</v>
      </c>
      <c r="L19" s="605">
        <v>13183597.400905427</v>
      </c>
      <c r="M19" s="436"/>
    </row>
    <row r="20" spans="1:13" ht="14.25" customHeight="1" x14ac:dyDescent="0.2">
      <c r="A20" s="658"/>
      <c r="B20" s="607" t="s">
        <v>256</v>
      </c>
      <c r="C20" s="608"/>
      <c r="D20" s="608"/>
      <c r="E20" s="608"/>
      <c r="F20" s="608"/>
      <c r="G20" s="608"/>
      <c r="H20" s="608"/>
      <c r="I20" s="608"/>
      <c r="J20" s="609"/>
      <c r="K20" s="610">
        <v>0</v>
      </c>
      <c r="L20" s="610">
        <v>0</v>
      </c>
      <c r="M20" s="436"/>
    </row>
    <row r="21" spans="1:13" x14ac:dyDescent="0.2">
      <c r="A21" s="660">
        <v>1</v>
      </c>
      <c r="B21" s="611" t="s">
        <v>78</v>
      </c>
      <c r="C21" s="667">
        <v>1</v>
      </c>
      <c r="D21" s="612" t="s">
        <v>77</v>
      </c>
      <c r="E21" s="604">
        <v>650000</v>
      </c>
      <c r="F21" s="604">
        <f t="shared" ref="F21:F46" si="2">+E21*C21</f>
        <v>650000</v>
      </c>
      <c r="G21" s="605"/>
      <c r="H21" s="605">
        <f>+K21/1.16</f>
        <v>279269.16007630178</v>
      </c>
      <c r="I21" s="605">
        <f>+G21*C21</f>
        <v>0</v>
      </c>
      <c r="J21" s="605">
        <f t="shared" si="1"/>
        <v>279269.16007630178</v>
      </c>
      <c r="K21" s="605">
        <v>323952.22568851005</v>
      </c>
      <c r="L21" s="605">
        <v>323952.22568851005</v>
      </c>
      <c r="M21" s="436"/>
    </row>
    <row r="22" spans="1:13" x14ac:dyDescent="0.2">
      <c r="A22" s="660">
        <f t="shared" ref="A22:A56" si="3">+A21+1</f>
        <v>2</v>
      </c>
      <c r="B22" s="611" t="s">
        <v>79</v>
      </c>
      <c r="C22" s="672">
        <v>5000</v>
      </c>
      <c r="D22" s="612" t="s">
        <v>77</v>
      </c>
      <c r="E22" s="604">
        <v>1300</v>
      </c>
      <c r="F22" s="604">
        <f t="shared" si="2"/>
        <v>6500000</v>
      </c>
      <c r="G22" s="605"/>
      <c r="H22" s="605">
        <f>+K22/1.16</f>
        <v>146.71896905617803</v>
      </c>
      <c r="I22" s="605">
        <f>+G22*C22</f>
        <v>0</v>
      </c>
      <c r="J22" s="605">
        <f t="shared" si="1"/>
        <v>733594.84528089012</v>
      </c>
      <c r="K22" s="605">
        <v>170.1940041051665</v>
      </c>
      <c r="L22" s="605">
        <v>850970.02052583254</v>
      </c>
      <c r="M22" s="436"/>
    </row>
    <row r="23" spans="1:13" x14ac:dyDescent="0.2">
      <c r="A23" s="660">
        <f t="shared" si="3"/>
        <v>3</v>
      </c>
      <c r="B23" s="611" t="s">
        <v>80</v>
      </c>
      <c r="C23" s="667">
        <v>1</v>
      </c>
      <c r="D23" s="612" t="s">
        <v>77</v>
      </c>
      <c r="E23" s="604">
        <v>2100000</v>
      </c>
      <c r="F23" s="604">
        <f t="shared" si="2"/>
        <v>2100000</v>
      </c>
      <c r="G23" s="605"/>
      <c r="H23" s="605">
        <f>+K23/1.16</f>
        <v>1384496.8207061568</v>
      </c>
      <c r="I23" s="605">
        <f>+G23*C23</f>
        <v>0</v>
      </c>
      <c r="J23" s="605">
        <f t="shared" si="1"/>
        <v>1384496.8207061568</v>
      </c>
      <c r="K23" s="605">
        <v>1606016.3120191419</v>
      </c>
      <c r="L23" s="605">
        <v>1606016.3120191419</v>
      </c>
      <c r="M23" s="436"/>
    </row>
    <row r="24" spans="1:13" x14ac:dyDescent="0.2">
      <c r="A24" s="660">
        <f t="shared" si="3"/>
        <v>4</v>
      </c>
      <c r="B24" s="611" t="s">
        <v>81</v>
      </c>
      <c r="C24" s="667">
        <v>2</v>
      </c>
      <c r="D24" s="612" t="s">
        <v>77</v>
      </c>
      <c r="E24" s="604">
        <v>1500000</v>
      </c>
      <c r="F24" s="604">
        <f t="shared" si="2"/>
        <v>3000000</v>
      </c>
      <c r="G24" s="605"/>
      <c r="H24" s="605">
        <f>+K24/1.16</f>
        <v>950298.14569779788</v>
      </c>
      <c r="I24" s="605">
        <f>+G24*C24</f>
        <v>0</v>
      </c>
      <c r="J24" s="605">
        <f t="shared" si="1"/>
        <v>1900596.2913955958</v>
      </c>
      <c r="K24" s="605">
        <v>1102345.8490094454</v>
      </c>
      <c r="L24" s="605">
        <v>2204691.6980188908</v>
      </c>
      <c r="M24" s="436"/>
    </row>
    <row r="25" spans="1:13" x14ac:dyDescent="0.2">
      <c r="A25" s="660">
        <f t="shared" si="3"/>
        <v>5</v>
      </c>
      <c r="B25" s="611" t="s">
        <v>82</v>
      </c>
      <c r="C25" s="667">
        <v>1</v>
      </c>
      <c r="D25" s="612" t="s">
        <v>77</v>
      </c>
      <c r="E25" s="604">
        <v>1400000</v>
      </c>
      <c r="F25" s="604">
        <f t="shared" si="2"/>
        <v>1400000</v>
      </c>
      <c r="G25" s="605"/>
      <c r="H25" s="605">
        <f>+K25/1.16</f>
        <v>723060.61347412562</v>
      </c>
      <c r="I25" s="605">
        <f>+G25*C25</f>
        <v>0</v>
      </c>
      <c r="J25" s="605">
        <f t="shared" si="1"/>
        <v>723060.61347412562</v>
      </c>
      <c r="K25" s="605">
        <v>838750.31162998569</v>
      </c>
      <c r="L25" s="605">
        <v>838750.31162998569</v>
      </c>
      <c r="M25" s="436"/>
    </row>
    <row r="26" spans="1:13" ht="25.5" x14ac:dyDescent="0.2">
      <c r="A26" s="660">
        <f t="shared" si="3"/>
        <v>6</v>
      </c>
      <c r="B26" s="611" t="s">
        <v>137</v>
      </c>
      <c r="C26" s="667">
        <v>1</v>
      </c>
      <c r="D26" s="612" t="s">
        <v>77</v>
      </c>
      <c r="E26" s="604">
        <v>600000</v>
      </c>
      <c r="F26" s="604">
        <f t="shared" si="2"/>
        <v>600000</v>
      </c>
      <c r="G26" s="605"/>
      <c r="H26" s="605">
        <f>+K26/1.16</f>
        <v>551647.6291543449</v>
      </c>
      <c r="I26" s="605">
        <f>+G26*C26</f>
        <v>0</v>
      </c>
      <c r="J26" s="605">
        <f t="shared" si="1"/>
        <v>551647.6291543449</v>
      </c>
      <c r="K26" s="605">
        <v>639911.24981904007</v>
      </c>
      <c r="L26" s="605">
        <v>639911.24981904007</v>
      </c>
      <c r="M26" s="436"/>
    </row>
    <row r="27" spans="1:13" ht="25.5" x14ac:dyDescent="0.2">
      <c r="A27" s="660">
        <f t="shared" si="3"/>
        <v>7</v>
      </c>
      <c r="B27" s="611" t="s">
        <v>138</v>
      </c>
      <c r="C27" s="672">
        <v>5000</v>
      </c>
      <c r="D27" s="612" t="s">
        <v>77</v>
      </c>
      <c r="E27" s="613">
        <v>310</v>
      </c>
      <c r="F27" s="604">
        <f t="shared" si="2"/>
        <v>1550000</v>
      </c>
      <c r="G27" s="605"/>
      <c r="H27" s="605">
        <f>+K27/1.16</f>
        <v>154.55337104014498</v>
      </c>
      <c r="I27" s="605">
        <f>+G27*C27</f>
        <v>0</v>
      </c>
      <c r="J27" s="605">
        <f t="shared" si="1"/>
        <v>772766.85520072491</v>
      </c>
      <c r="K27" s="605">
        <v>179.28191040656816</v>
      </c>
      <c r="L27" s="605">
        <v>896409.55203284079</v>
      </c>
      <c r="M27" s="436"/>
    </row>
    <row r="28" spans="1:13" x14ac:dyDescent="0.2">
      <c r="A28" s="660">
        <f t="shared" si="3"/>
        <v>8</v>
      </c>
      <c r="B28" s="611" t="s">
        <v>139</v>
      </c>
      <c r="C28" s="667">
        <v>1</v>
      </c>
      <c r="D28" s="612" t="s">
        <v>77</v>
      </c>
      <c r="E28" s="604">
        <v>900000</v>
      </c>
      <c r="F28" s="604">
        <f t="shared" si="2"/>
        <v>900000</v>
      </c>
      <c r="G28" s="605"/>
      <c r="H28" s="605">
        <f>+K28/1.16</f>
        <v>871265.19784883375</v>
      </c>
      <c r="I28" s="605">
        <f>+G28*C28</f>
        <v>0</v>
      </c>
      <c r="J28" s="605">
        <f t="shared" si="1"/>
        <v>871265.19784883375</v>
      </c>
      <c r="K28" s="605">
        <v>1010667.6295046471</v>
      </c>
      <c r="L28" s="605">
        <v>1010667.6295046471</v>
      </c>
      <c r="M28" s="436"/>
    </row>
    <row r="29" spans="1:13" ht="25.5" x14ac:dyDescent="0.2">
      <c r="A29" s="660">
        <f t="shared" si="3"/>
        <v>9</v>
      </c>
      <c r="B29" s="611" t="s">
        <v>303</v>
      </c>
      <c r="C29" s="673">
        <v>10000</v>
      </c>
      <c r="D29" s="612" t="s">
        <v>77</v>
      </c>
      <c r="E29" s="613">
        <v>360</v>
      </c>
      <c r="F29" s="604">
        <f t="shared" si="2"/>
        <v>3600000</v>
      </c>
      <c r="G29" s="605"/>
      <c r="H29" s="605">
        <f>+K29/1.16</f>
        <v>273.93723561220258</v>
      </c>
      <c r="I29" s="605">
        <f>+G29*C29</f>
        <v>0</v>
      </c>
      <c r="J29" s="605">
        <f t="shared" si="1"/>
        <v>2739372.3561220258</v>
      </c>
      <c r="K29" s="605">
        <v>317.76719331015499</v>
      </c>
      <c r="L29" s="605">
        <v>3177671.9331015497</v>
      </c>
      <c r="M29" s="436"/>
    </row>
    <row r="30" spans="1:13" x14ac:dyDescent="0.2">
      <c r="A30" s="660">
        <f t="shared" si="3"/>
        <v>10</v>
      </c>
      <c r="B30" s="611" t="s">
        <v>304</v>
      </c>
      <c r="C30" s="674">
        <v>1</v>
      </c>
      <c r="D30" s="612" t="s">
        <v>77</v>
      </c>
      <c r="E30" s="604">
        <v>1200000</v>
      </c>
      <c r="F30" s="604">
        <f t="shared" si="2"/>
        <v>1200000</v>
      </c>
      <c r="G30" s="605"/>
      <c r="H30" s="605">
        <f>+K30/1.16</f>
        <v>145551.24853822947</v>
      </c>
      <c r="I30" s="605">
        <f>+G30*C30</f>
        <v>0</v>
      </c>
      <c r="J30" s="605">
        <f t="shared" si="1"/>
        <v>145551.24853822947</v>
      </c>
      <c r="K30" s="605">
        <v>168839.44830434618</v>
      </c>
      <c r="L30" s="605">
        <v>168839.44830434618</v>
      </c>
      <c r="M30" s="436"/>
    </row>
    <row r="31" spans="1:13" ht="25.5" x14ac:dyDescent="0.2">
      <c r="A31" s="660">
        <f t="shared" si="3"/>
        <v>11</v>
      </c>
      <c r="B31" s="611" t="s">
        <v>142</v>
      </c>
      <c r="C31" s="673">
        <v>5000</v>
      </c>
      <c r="D31" s="612" t="s">
        <v>77</v>
      </c>
      <c r="E31" s="613">
        <v>360</v>
      </c>
      <c r="F31" s="604">
        <f t="shared" si="2"/>
        <v>1800000</v>
      </c>
      <c r="G31" s="605"/>
      <c r="H31" s="605">
        <f>+K31/1.16</f>
        <v>268.16863629624333</v>
      </c>
      <c r="I31" s="605">
        <f>+G31*C31</f>
        <v>0</v>
      </c>
      <c r="J31" s="605">
        <f t="shared" si="1"/>
        <v>1340843.1814812166</v>
      </c>
      <c r="K31" s="605">
        <v>311.07561810364223</v>
      </c>
      <c r="L31" s="605">
        <v>1555378.0905182112</v>
      </c>
      <c r="M31" s="436"/>
    </row>
    <row r="32" spans="1:13" x14ac:dyDescent="0.2">
      <c r="A32" s="660">
        <f t="shared" si="3"/>
        <v>12</v>
      </c>
      <c r="B32" s="611" t="s">
        <v>133</v>
      </c>
      <c r="C32" s="673">
        <v>12500</v>
      </c>
      <c r="D32" s="612" t="s">
        <v>77</v>
      </c>
      <c r="E32" s="604">
        <v>3500</v>
      </c>
      <c r="F32" s="604">
        <f t="shared" si="2"/>
        <v>43750000</v>
      </c>
      <c r="G32" s="605"/>
      <c r="H32" s="605">
        <f>+K32/1.16</f>
        <v>1557.1360589605911</v>
      </c>
      <c r="I32" s="605">
        <f>+G32*C32</f>
        <v>0</v>
      </c>
      <c r="J32" s="605">
        <f t="shared" si="1"/>
        <v>19464200.737007387</v>
      </c>
      <c r="K32" s="605">
        <v>1806.2778283942855</v>
      </c>
      <c r="L32" s="605">
        <v>22578472.854928568</v>
      </c>
      <c r="M32" s="436"/>
    </row>
    <row r="33" spans="1:13" ht="27" customHeight="1" x14ac:dyDescent="0.2">
      <c r="A33" s="660">
        <f t="shared" si="3"/>
        <v>13</v>
      </c>
      <c r="B33" s="611" t="s">
        <v>188</v>
      </c>
      <c r="C33" s="673">
        <v>100</v>
      </c>
      <c r="D33" s="612" t="s">
        <v>77</v>
      </c>
      <c r="E33" s="604">
        <v>1800</v>
      </c>
      <c r="F33" s="604">
        <f t="shared" si="2"/>
        <v>180000</v>
      </c>
      <c r="G33" s="605"/>
      <c r="H33" s="605">
        <f>+K33/1.16</f>
        <v>23658.812963314012</v>
      </c>
      <c r="I33" s="605">
        <f>+G33*C33</f>
        <v>0</v>
      </c>
      <c r="J33" s="605">
        <f t="shared" si="1"/>
        <v>2365881.2963314014</v>
      </c>
      <c r="K33" s="605">
        <v>27444.223037444252</v>
      </c>
      <c r="L33" s="605">
        <v>2744422.3037444251</v>
      </c>
      <c r="M33" s="436"/>
    </row>
    <row r="34" spans="1:13" ht="25.5" x14ac:dyDescent="0.2">
      <c r="A34" s="660">
        <f t="shared" si="3"/>
        <v>14</v>
      </c>
      <c r="B34" s="611" t="s">
        <v>124</v>
      </c>
      <c r="C34" s="673">
        <v>1</v>
      </c>
      <c r="D34" s="612" t="s">
        <v>77</v>
      </c>
      <c r="E34" s="604">
        <v>800000</v>
      </c>
      <c r="F34" s="604">
        <f t="shared" si="2"/>
        <v>800000</v>
      </c>
      <c r="G34" s="605"/>
      <c r="H34" s="605">
        <f>+K34/1.16</f>
        <v>572018.08528763254</v>
      </c>
      <c r="I34" s="605">
        <f>+G34*C34</f>
        <v>0</v>
      </c>
      <c r="J34" s="605">
        <f t="shared" si="1"/>
        <v>572018.08528763254</v>
      </c>
      <c r="K34" s="605">
        <v>663540.97893365368</v>
      </c>
      <c r="L34" s="605">
        <v>663540.97893365368</v>
      </c>
      <c r="M34" s="436"/>
    </row>
    <row r="35" spans="1:13" ht="24" customHeight="1" x14ac:dyDescent="0.2">
      <c r="A35" s="660">
        <f t="shared" si="3"/>
        <v>15</v>
      </c>
      <c r="B35" s="614" t="s">
        <v>125</v>
      </c>
      <c r="C35" s="673">
        <v>215</v>
      </c>
      <c r="D35" s="612" t="s">
        <v>77</v>
      </c>
      <c r="E35" s="604">
        <v>5400</v>
      </c>
      <c r="F35" s="604">
        <f t="shared" si="2"/>
        <v>1161000</v>
      </c>
      <c r="G35" s="605"/>
      <c r="H35" s="605">
        <f>+K35/1.16</f>
        <v>9629.4575865400257</v>
      </c>
      <c r="I35" s="605">
        <f>+G35*C35</f>
        <v>0</v>
      </c>
      <c r="J35" s="605">
        <f t="shared" si="1"/>
        <v>2070333.3811061056</v>
      </c>
      <c r="K35" s="605">
        <v>11170.17080038643</v>
      </c>
      <c r="L35" s="605">
        <v>2401586.7220830824</v>
      </c>
      <c r="M35" s="436"/>
    </row>
    <row r="36" spans="1:13" x14ac:dyDescent="0.2">
      <c r="A36" s="660">
        <f t="shared" si="3"/>
        <v>16</v>
      </c>
      <c r="B36" s="614" t="s">
        <v>126</v>
      </c>
      <c r="C36" s="674">
        <v>1</v>
      </c>
      <c r="D36" s="612" t="s">
        <v>77</v>
      </c>
      <c r="E36" s="604">
        <v>775000</v>
      </c>
      <c r="F36" s="604">
        <f t="shared" si="2"/>
        <v>775000</v>
      </c>
      <c r="G36" s="605"/>
      <c r="H36" s="605">
        <f>+K36/1.16</f>
        <v>302923.2121158932</v>
      </c>
      <c r="I36" s="605">
        <f>+G36*C36</f>
        <v>0</v>
      </c>
      <c r="J36" s="605">
        <f t="shared" si="1"/>
        <v>302923.2121158932</v>
      </c>
      <c r="K36" s="605">
        <v>351390.92605443607</v>
      </c>
      <c r="L36" s="605">
        <v>351390.92605443607</v>
      </c>
      <c r="M36" s="436"/>
    </row>
    <row r="37" spans="1:13" x14ac:dyDescent="0.2">
      <c r="A37" s="660">
        <f t="shared" si="3"/>
        <v>17</v>
      </c>
      <c r="B37" s="614" t="s">
        <v>134</v>
      </c>
      <c r="C37" s="673">
        <v>498</v>
      </c>
      <c r="D37" s="612" t="s">
        <v>77</v>
      </c>
      <c r="E37" s="604">
        <v>4000</v>
      </c>
      <c r="F37" s="604">
        <f t="shared" si="2"/>
        <v>1992000</v>
      </c>
      <c r="G37" s="605"/>
      <c r="H37" s="605">
        <f>+K37/1.16</f>
        <v>3917.7201363299669</v>
      </c>
      <c r="I37" s="605">
        <f>+G37*C37</f>
        <v>0</v>
      </c>
      <c r="J37" s="605">
        <f t="shared" si="1"/>
        <v>1951024.6278923235</v>
      </c>
      <c r="K37" s="605">
        <v>4544.5553581427612</v>
      </c>
      <c r="L37" s="605">
        <v>2263188.5683550951</v>
      </c>
      <c r="M37" s="436"/>
    </row>
    <row r="38" spans="1:13" x14ac:dyDescent="0.2">
      <c r="A38" s="660">
        <f t="shared" si="3"/>
        <v>18</v>
      </c>
      <c r="B38" s="611" t="s">
        <v>83</v>
      </c>
      <c r="C38" s="674">
        <v>5</v>
      </c>
      <c r="D38" s="612" t="s">
        <v>77</v>
      </c>
      <c r="E38" s="604">
        <v>650000</v>
      </c>
      <c r="F38" s="604">
        <f t="shared" si="2"/>
        <v>3250000</v>
      </c>
      <c r="G38" s="605"/>
      <c r="H38" s="605">
        <f>+K38/1.16</f>
        <v>272880.97780457087</v>
      </c>
      <c r="I38" s="605">
        <f>+G38*C38</f>
        <v>0</v>
      </c>
      <c r="J38" s="605">
        <f t="shared" si="1"/>
        <v>1364404.8890228544</v>
      </c>
      <c r="K38" s="605">
        <v>316541.93425330217</v>
      </c>
      <c r="L38" s="605">
        <v>1582709.6712665108</v>
      </c>
      <c r="M38" s="436"/>
    </row>
    <row r="39" spans="1:13" x14ac:dyDescent="0.2">
      <c r="A39" s="660">
        <f t="shared" si="3"/>
        <v>19</v>
      </c>
      <c r="B39" s="611" t="s">
        <v>135</v>
      </c>
      <c r="C39" s="674">
        <v>5</v>
      </c>
      <c r="D39" s="612" t="s">
        <v>77</v>
      </c>
      <c r="E39" s="604">
        <v>290000</v>
      </c>
      <c r="F39" s="604">
        <f t="shared" si="2"/>
        <v>1450000</v>
      </c>
      <c r="G39" s="605"/>
      <c r="H39" s="605">
        <f>+K39/1.16</f>
        <v>173017.95396883809</v>
      </c>
      <c r="I39" s="605">
        <f>+G39*C39</f>
        <v>0</v>
      </c>
      <c r="J39" s="605">
        <f t="shared" si="1"/>
        <v>865089.76984419045</v>
      </c>
      <c r="K39" s="605">
        <v>200700.82660385215</v>
      </c>
      <c r="L39" s="605">
        <v>1003504.1330192608</v>
      </c>
      <c r="M39" s="436"/>
    </row>
    <row r="40" spans="1:13" x14ac:dyDescent="0.2">
      <c r="A40" s="660">
        <f t="shared" si="3"/>
        <v>20</v>
      </c>
      <c r="B40" s="611" t="s">
        <v>84</v>
      </c>
      <c r="C40" s="674">
        <v>1</v>
      </c>
      <c r="D40" s="612" t="s">
        <v>77</v>
      </c>
      <c r="E40" s="604">
        <v>650000</v>
      </c>
      <c r="F40" s="604">
        <f t="shared" si="2"/>
        <v>650000</v>
      </c>
      <c r="G40" s="605"/>
      <c r="H40" s="605">
        <f>+K40/1.16</f>
        <v>278973.08974650042</v>
      </c>
      <c r="I40" s="605">
        <f>+G40*C40</f>
        <v>0</v>
      </c>
      <c r="J40" s="605">
        <f t="shared" si="1"/>
        <v>278973.08974650042</v>
      </c>
      <c r="K40" s="605">
        <v>323608.78410594049</v>
      </c>
      <c r="L40" s="605">
        <v>323608.78410594049</v>
      </c>
      <c r="M40" s="436"/>
    </row>
    <row r="41" spans="1:13" x14ac:dyDescent="0.2">
      <c r="A41" s="660">
        <f t="shared" si="3"/>
        <v>21</v>
      </c>
      <c r="B41" s="611" t="s">
        <v>85</v>
      </c>
      <c r="C41" s="674">
        <v>1</v>
      </c>
      <c r="D41" s="612" t="s">
        <v>77</v>
      </c>
      <c r="E41" s="604">
        <v>390000</v>
      </c>
      <c r="F41" s="604">
        <f t="shared" si="2"/>
        <v>390000</v>
      </c>
      <c r="G41" s="605"/>
      <c r="H41" s="605">
        <f>+K41/1.16</f>
        <v>320797.2081387153</v>
      </c>
      <c r="I41" s="605">
        <f>+G41*C41</f>
        <v>0</v>
      </c>
      <c r="J41" s="605">
        <f t="shared" si="1"/>
        <v>320797.2081387153</v>
      </c>
      <c r="K41" s="605">
        <v>372124.7614409097</v>
      </c>
      <c r="L41" s="605">
        <v>372124.7614409097</v>
      </c>
      <c r="M41" s="436"/>
    </row>
    <row r="42" spans="1:13" x14ac:dyDescent="0.2">
      <c r="A42" s="660">
        <f t="shared" si="3"/>
        <v>22</v>
      </c>
      <c r="B42" s="611" t="s">
        <v>86</v>
      </c>
      <c r="C42" s="674">
        <v>2</v>
      </c>
      <c r="D42" s="612" t="s">
        <v>77</v>
      </c>
      <c r="E42" s="604">
        <v>730000</v>
      </c>
      <c r="F42" s="604">
        <f t="shared" si="2"/>
        <v>1460000</v>
      </c>
      <c r="G42" s="605"/>
      <c r="H42" s="605">
        <f>+K42/1.16</f>
        <v>322353.95588620647</v>
      </c>
      <c r="I42" s="605">
        <f>+G42*C42</f>
        <v>0</v>
      </c>
      <c r="J42" s="605">
        <f t="shared" si="1"/>
        <v>644707.91177241295</v>
      </c>
      <c r="K42" s="605">
        <v>373930.58882799948</v>
      </c>
      <c r="L42" s="605">
        <v>747861.17765599897</v>
      </c>
      <c r="M42" s="436"/>
    </row>
    <row r="43" spans="1:13" x14ac:dyDescent="0.2">
      <c r="A43" s="660">
        <f t="shared" si="3"/>
        <v>23</v>
      </c>
      <c r="B43" s="611" t="s">
        <v>87</v>
      </c>
      <c r="C43" s="674">
        <v>1</v>
      </c>
      <c r="D43" s="612" t="s">
        <v>77</v>
      </c>
      <c r="E43" s="604">
        <v>280000</v>
      </c>
      <c r="F43" s="604">
        <f t="shared" si="2"/>
        <v>280000</v>
      </c>
      <c r="G43" s="605"/>
      <c r="H43" s="605">
        <f>+K43/1.16</f>
        <v>267072.046317111</v>
      </c>
      <c r="I43" s="605">
        <f>+G43*C43</f>
        <v>0</v>
      </c>
      <c r="J43" s="605">
        <f t="shared" si="1"/>
        <v>267072.046317111</v>
      </c>
      <c r="K43" s="605">
        <v>309803.57372784876</v>
      </c>
      <c r="L43" s="605">
        <v>309803.57372784876</v>
      </c>
      <c r="M43" s="436"/>
    </row>
    <row r="44" spans="1:13" x14ac:dyDescent="0.2">
      <c r="A44" s="660">
        <f t="shared" si="3"/>
        <v>24</v>
      </c>
      <c r="B44" s="611" t="s">
        <v>88</v>
      </c>
      <c r="C44" s="674">
        <v>1</v>
      </c>
      <c r="D44" s="612" t="s">
        <v>77</v>
      </c>
      <c r="E44" s="604">
        <v>730000</v>
      </c>
      <c r="F44" s="604">
        <f t="shared" si="2"/>
        <v>730000</v>
      </c>
      <c r="G44" s="605"/>
      <c r="H44" s="605">
        <f>+K44/1.16</f>
        <v>571178.43543076527</v>
      </c>
      <c r="I44" s="605">
        <f>+G44*C44</f>
        <v>0</v>
      </c>
      <c r="J44" s="605">
        <f t="shared" si="1"/>
        <v>571178.43543076527</v>
      </c>
      <c r="K44" s="605">
        <v>662566.98509968771</v>
      </c>
      <c r="L44" s="605">
        <v>662566.98509968771</v>
      </c>
      <c r="M44" s="436"/>
    </row>
    <row r="45" spans="1:13" x14ac:dyDescent="0.2">
      <c r="A45" s="660">
        <f t="shared" si="3"/>
        <v>25</v>
      </c>
      <c r="B45" s="611" t="s">
        <v>89</v>
      </c>
      <c r="C45" s="674">
        <v>2</v>
      </c>
      <c r="D45" s="612" t="s">
        <v>77</v>
      </c>
      <c r="E45" s="604">
        <v>540000</v>
      </c>
      <c r="F45" s="604">
        <f t="shared" si="2"/>
        <v>1080000</v>
      </c>
      <c r="G45" s="605"/>
      <c r="H45" s="605">
        <f>+K45/1.16</f>
        <v>510296.60149590869</v>
      </c>
      <c r="I45" s="605">
        <f>+G45*C45</f>
        <v>0</v>
      </c>
      <c r="J45" s="605">
        <f t="shared" si="1"/>
        <v>1020593.2029918174</v>
      </c>
      <c r="K45" s="605">
        <v>591944.05773525406</v>
      </c>
      <c r="L45" s="605">
        <v>1183888.1154705081</v>
      </c>
      <c r="M45" s="436"/>
    </row>
    <row r="46" spans="1:13" x14ac:dyDescent="0.2">
      <c r="A46" s="660">
        <f>+A45+1</f>
        <v>26</v>
      </c>
      <c r="B46" s="611" t="s">
        <v>90</v>
      </c>
      <c r="C46" s="674">
        <v>1</v>
      </c>
      <c r="D46" s="612" t="s">
        <v>77</v>
      </c>
      <c r="E46" s="604">
        <v>790000</v>
      </c>
      <c r="F46" s="604">
        <f t="shared" si="2"/>
        <v>790000</v>
      </c>
      <c r="G46" s="605"/>
      <c r="H46" s="605">
        <f>+K46/1.16</f>
        <v>561214.31993682333</v>
      </c>
      <c r="I46" s="605">
        <f>+G46*C46</f>
        <v>0</v>
      </c>
      <c r="J46" s="605">
        <f t="shared" si="1"/>
        <v>561214.31993682333</v>
      </c>
      <c r="K46" s="605">
        <v>651008.61112671508</v>
      </c>
      <c r="L46" s="605">
        <v>651008.61112671508</v>
      </c>
      <c r="M46" s="436"/>
    </row>
    <row r="47" spans="1:13" x14ac:dyDescent="0.2">
      <c r="A47" s="660">
        <f t="shared" si="3"/>
        <v>27</v>
      </c>
      <c r="B47" s="611" t="s">
        <v>91</v>
      </c>
      <c r="C47" s="674">
        <v>1</v>
      </c>
      <c r="D47" s="612" t="s">
        <v>77</v>
      </c>
      <c r="E47" s="604" t="s">
        <v>190</v>
      </c>
      <c r="F47" s="604" t="s">
        <v>190</v>
      </c>
      <c r="G47" s="605"/>
      <c r="H47" s="605">
        <f>+K47/1.16</f>
        <v>551061.65831993555</v>
      </c>
      <c r="I47" s="605">
        <f>+G47*C47</f>
        <v>0</v>
      </c>
      <c r="J47" s="605">
        <f t="shared" si="1"/>
        <v>551061.65831993555</v>
      </c>
      <c r="K47" s="605">
        <v>639231.52365112514</v>
      </c>
      <c r="L47" s="605">
        <v>639231.52365112514</v>
      </c>
      <c r="M47" s="436"/>
    </row>
    <row r="48" spans="1:13" x14ac:dyDescent="0.2">
      <c r="A48" s="660">
        <f t="shared" si="3"/>
        <v>28</v>
      </c>
      <c r="B48" s="611" t="s">
        <v>92</v>
      </c>
      <c r="C48" s="674">
        <v>1</v>
      </c>
      <c r="D48" s="612" t="s">
        <v>77</v>
      </c>
      <c r="E48" s="604">
        <v>920000</v>
      </c>
      <c r="F48" s="604">
        <f>+E48*C48</f>
        <v>920000</v>
      </c>
      <c r="G48" s="605"/>
      <c r="H48" s="605">
        <f>+K48/1.16</f>
        <v>787803.43633934529</v>
      </c>
      <c r="I48" s="605">
        <f>+G48*C48</f>
        <v>0</v>
      </c>
      <c r="J48" s="605">
        <f t="shared" si="1"/>
        <v>787803.43633934529</v>
      </c>
      <c r="K48" s="605">
        <v>913851.98615364044</v>
      </c>
      <c r="L48" s="605">
        <v>913851.98615364044</v>
      </c>
      <c r="M48" s="436"/>
    </row>
    <row r="49" spans="1:13" x14ac:dyDescent="0.2">
      <c r="A49" s="660">
        <f t="shared" si="3"/>
        <v>29</v>
      </c>
      <c r="B49" s="611" t="s">
        <v>93</v>
      </c>
      <c r="C49" s="674">
        <v>1</v>
      </c>
      <c r="D49" s="612" t="s">
        <v>77</v>
      </c>
      <c r="E49" s="604" t="s">
        <v>190</v>
      </c>
      <c r="F49" s="604" t="s">
        <v>190</v>
      </c>
      <c r="G49" s="605"/>
      <c r="H49" s="605">
        <f>+K49/1.16</f>
        <v>598814.09861085005</v>
      </c>
      <c r="I49" s="605">
        <f>+G49*C49</f>
        <v>0</v>
      </c>
      <c r="J49" s="605">
        <f t="shared" si="1"/>
        <v>598814.09861085005</v>
      </c>
      <c r="K49" s="605">
        <v>694624.35438858601</v>
      </c>
      <c r="L49" s="605">
        <v>694624.35438858601</v>
      </c>
      <c r="M49" s="436"/>
    </row>
    <row r="50" spans="1:13" x14ac:dyDescent="0.2">
      <c r="A50" s="660">
        <f t="shared" si="3"/>
        <v>30</v>
      </c>
      <c r="B50" s="611" t="s">
        <v>94</v>
      </c>
      <c r="C50" s="674">
        <v>2</v>
      </c>
      <c r="D50" s="612" t="s">
        <v>77</v>
      </c>
      <c r="E50" s="604">
        <v>920000</v>
      </c>
      <c r="F50" s="604">
        <f>+E50*C50</f>
        <v>1840000</v>
      </c>
      <c r="G50" s="605"/>
      <c r="H50" s="605">
        <f>+K50/1.16</f>
        <v>692799.58797825163</v>
      </c>
      <c r="I50" s="605">
        <f>+G50*C50</f>
        <v>0</v>
      </c>
      <c r="J50" s="605">
        <f t="shared" si="1"/>
        <v>1385599.1759565033</v>
      </c>
      <c r="K50" s="605">
        <v>803647.52205477178</v>
      </c>
      <c r="L50" s="605">
        <v>1607295.0441095436</v>
      </c>
      <c r="M50" s="436"/>
    </row>
    <row r="51" spans="1:13" x14ac:dyDescent="0.2">
      <c r="A51" s="660">
        <f t="shared" si="3"/>
        <v>31</v>
      </c>
      <c r="B51" s="611" t="s">
        <v>95</v>
      </c>
      <c r="C51" s="674">
        <v>2</v>
      </c>
      <c r="D51" s="612" t="s">
        <v>77</v>
      </c>
      <c r="E51" s="604" t="s">
        <v>190</v>
      </c>
      <c r="F51" s="604" t="s">
        <v>190</v>
      </c>
      <c r="G51" s="605"/>
      <c r="H51" s="605">
        <f>+K51/1.16</f>
        <v>1074479.747562774</v>
      </c>
      <c r="I51" s="605">
        <f>+G51*C51</f>
        <v>0</v>
      </c>
      <c r="J51" s="605">
        <f t="shared" si="1"/>
        <v>2148959.495125548</v>
      </c>
      <c r="K51" s="605">
        <v>1246396.5071728178</v>
      </c>
      <c r="L51" s="605">
        <v>2492793.0143456357</v>
      </c>
      <c r="M51" s="436"/>
    </row>
    <row r="52" spans="1:13" hidden="1" x14ac:dyDescent="0.2">
      <c r="A52" s="660">
        <f t="shared" si="3"/>
        <v>32</v>
      </c>
      <c r="B52" s="611" t="s">
        <v>96</v>
      </c>
      <c r="C52" s="674">
        <v>1</v>
      </c>
      <c r="D52" s="612" t="s">
        <v>77</v>
      </c>
      <c r="E52" s="604"/>
      <c r="F52" s="604">
        <f t="shared" ref="F52:F57" si="4">+E52*C52</f>
        <v>0</v>
      </c>
      <c r="G52" s="605"/>
      <c r="H52" s="605">
        <f>+K52/1.16</f>
        <v>0</v>
      </c>
      <c r="I52" s="605">
        <f>+G52*C52</f>
        <v>0</v>
      </c>
      <c r="J52" s="605">
        <f t="shared" si="1"/>
        <v>0</v>
      </c>
      <c r="K52" s="605"/>
      <c r="L52" s="605"/>
      <c r="M52" s="436"/>
    </row>
    <row r="53" spans="1:13" hidden="1" x14ac:dyDescent="0.2">
      <c r="A53" s="660">
        <f t="shared" si="3"/>
        <v>33</v>
      </c>
      <c r="B53" s="611" t="s">
        <v>97</v>
      </c>
      <c r="C53" s="674">
        <v>1</v>
      </c>
      <c r="D53" s="612" t="s">
        <v>77</v>
      </c>
      <c r="E53" s="604"/>
      <c r="F53" s="604">
        <f t="shared" si="4"/>
        <v>0</v>
      </c>
      <c r="G53" s="605"/>
      <c r="H53" s="605">
        <f>+K53/1.16</f>
        <v>0</v>
      </c>
      <c r="I53" s="605">
        <f>+G53*C53</f>
        <v>0</v>
      </c>
      <c r="J53" s="605">
        <f t="shared" si="1"/>
        <v>0</v>
      </c>
      <c r="K53" s="605"/>
      <c r="L53" s="605"/>
      <c r="M53" s="436"/>
    </row>
    <row r="54" spans="1:13" hidden="1" x14ac:dyDescent="0.2">
      <c r="A54" s="660">
        <f t="shared" si="3"/>
        <v>34</v>
      </c>
      <c r="B54" s="611" t="s">
        <v>98</v>
      </c>
      <c r="C54" s="674">
        <v>1</v>
      </c>
      <c r="D54" s="612" t="s">
        <v>77</v>
      </c>
      <c r="E54" s="604"/>
      <c r="F54" s="604">
        <f t="shared" si="4"/>
        <v>0</v>
      </c>
      <c r="G54" s="605"/>
      <c r="H54" s="605">
        <f>+K54/1.16</f>
        <v>0</v>
      </c>
      <c r="I54" s="605">
        <f>+G54*C54</f>
        <v>0</v>
      </c>
      <c r="J54" s="605">
        <f t="shared" si="1"/>
        <v>0</v>
      </c>
      <c r="K54" s="605"/>
      <c r="L54" s="605"/>
      <c r="M54" s="436"/>
    </row>
    <row r="55" spans="1:13" hidden="1" x14ac:dyDescent="0.2">
      <c r="A55" s="660">
        <f t="shared" si="3"/>
        <v>35</v>
      </c>
      <c r="B55" s="611" t="s">
        <v>99</v>
      </c>
      <c r="C55" s="674">
        <v>1</v>
      </c>
      <c r="D55" s="612" t="s">
        <v>77</v>
      </c>
      <c r="E55" s="604"/>
      <c r="F55" s="604">
        <f t="shared" si="4"/>
        <v>0</v>
      </c>
      <c r="G55" s="605"/>
      <c r="H55" s="605">
        <f>+K55/1.16</f>
        <v>0</v>
      </c>
      <c r="I55" s="605">
        <f>+G55*C55</f>
        <v>0</v>
      </c>
      <c r="J55" s="605">
        <f t="shared" si="1"/>
        <v>0</v>
      </c>
      <c r="K55" s="605"/>
      <c r="L55" s="605"/>
      <c r="M55" s="436"/>
    </row>
    <row r="56" spans="1:13" hidden="1" x14ac:dyDescent="0.2">
      <c r="A56" s="660">
        <f t="shared" si="3"/>
        <v>36</v>
      </c>
      <c r="B56" s="611" t="s">
        <v>100</v>
      </c>
      <c r="C56" s="674">
        <v>1</v>
      </c>
      <c r="D56" s="612" t="s">
        <v>77</v>
      </c>
      <c r="E56" s="604"/>
      <c r="F56" s="604">
        <f t="shared" si="4"/>
        <v>0</v>
      </c>
      <c r="G56" s="605"/>
      <c r="H56" s="605">
        <f>+K56/1.16</f>
        <v>0</v>
      </c>
      <c r="I56" s="605">
        <f>+G56*C56</f>
        <v>0</v>
      </c>
      <c r="J56" s="605">
        <f t="shared" si="1"/>
        <v>0</v>
      </c>
      <c r="K56" s="605"/>
      <c r="L56" s="605"/>
      <c r="M56" s="436"/>
    </row>
    <row r="57" spans="1:13" ht="12" customHeight="1" x14ac:dyDescent="0.2">
      <c r="A57" s="660">
        <v>32</v>
      </c>
      <c r="B57" s="611" t="s">
        <v>155</v>
      </c>
      <c r="C57" s="674">
        <v>12500</v>
      </c>
      <c r="D57" s="612" t="s">
        <v>77</v>
      </c>
      <c r="E57" s="604">
        <v>3200</v>
      </c>
      <c r="F57" s="604">
        <f t="shared" si="4"/>
        <v>40000000</v>
      </c>
      <c r="G57" s="605"/>
      <c r="H57" s="605">
        <f>+K57/1.16</f>
        <v>3218.9471974297753</v>
      </c>
      <c r="I57" s="605">
        <f>+G57*C57</f>
        <v>0</v>
      </c>
      <c r="J57" s="605">
        <f t="shared" si="1"/>
        <v>40236839.967872195</v>
      </c>
      <c r="K57" s="605">
        <v>3733.978749018539</v>
      </c>
      <c r="L57" s="605">
        <v>46674734.36273174</v>
      </c>
      <c r="M57" s="436"/>
    </row>
    <row r="58" spans="1:13" ht="12.75" customHeight="1" x14ac:dyDescent="0.2">
      <c r="A58" s="661"/>
      <c r="B58" s="607" t="s">
        <v>257</v>
      </c>
      <c r="C58" s="608"/>
      <c r="D58" s="608"/>
      <c r="E58" s="608"/>
      <c r="F58" s="609"/>
      <c r="G58" s="615"/>
      <c r="H58" s="615"/>
      <c r="I58" s="615"/>
      <c r="J58" s="615"/>
      <c r="K58" s="615"/>
      <c r="L58" s="615">
        <v>0</v>
      </c>
      <c r="M58" s="436"/>
    </row>
    <row r="59" spans="1:13" ht="25.5" x14ac:dyDescent="0.2">
      <c r="A59" s="660">
        <v>1</v>
      </c>
      <c r="B59" s="611" t="s">
        <v>163</v>
      </c>
      <c r="C59" s="672">
        <v>1</v>
      </c>
      <c r="D59" s="612" t="s">
        <v>77</v>
      </c>
      <c r="E59" s="604">
        <v>1200000</v>
      </c>
      <c r="F59" s="604">
        <v>1200000</v>
      </c>
      <c r="G59" s="605"/>
      <c r="H59" s="605">
        <f>+K59/1.16</f>
        <v>624009.51559580967</v>
      </c>
      <c r="I59" s="605">
        <f>+G59*C59</f>
        <v>0</v>
      </c>
      <c r="J59" s="605">
        <f t="shared" si="1"/>
        <v>624009.51559580967</v>
      </c>
      <c r="K59" s="605">
        <v>723851.03809113917</v>
      </c>
      <c r="L59" s="605">
        <v>723851.03809113917</v>
      </c>
      <c r="M59" s="436"/>
    </row>
    <row r="60" spans="1:13" ht="25.5" x14ac:dyDescent="0.2">
      <c r="A60" s="660">
        <v>2</v>
      </c>
      <c r="B60" s="611" t="s">
        <v>164</v>
      </c>
      <c r="C60" s="672">
        <v>12500</v>
      </c>
      <c r="D60" s="612" t="s">
        <v>77</v>
      </c>
      <c r="E60" s="604">
        <v>270</v>
      </c>
      <c r="F60" s="604">
        <f>+E60*C60</f>
        <v>3375000</v>
      </c>
      <c r="G60" s="605"/>
      <c r="H60" s="605">
        <f>+K60/1.16</f>
        <v>577.31958718782721</v>
      </c>
      <c r="I60" s="605">
        <f>+G60*C60</f>
        <v>0</v>
      </c>
      <c r="J60" s="605">
        <f t="shared" si="1"/>
        <v>7216494.8398478404</v>
      </c>
      <c r="K60" s="605">
        <v>669.69072113787956</v>
      </c>
      <c r="L60" s="605">
        <v>8371134.0142234946</v>
      </c>
      <c r="M60" s="436"/>
    </row>
    <row r="61" spans="1:13" ht="25.5" x14ac:dyDescent="0.2">
      <c r="A61" s="660">
        <v>3</v>
      </c>
      <c r="B61" s="611" t="s">
        <v>167</v>
      </c>
      <c r="C61" s="672">
        <v>1</v>
      </c>
      <c r="D61" s="612" t="s">
        <v>77</v>
      </c>
      <c r="E61" s="604">
        <v>2500000</v>
      </c>
      <c r="F61" s="604">
        <v>2500000</v>
      </c>
      <c r="G61" s="605"/>
      <c r="H61" s="605">
        <f>+K61/1.16</f>
        <v>760089.48708690412</v>
      </c>
      <c r="I61" s="605">
        <f>+G61*C61</f>
        <v>0</v>
      </c>
      <c r="J61" s="605">
        <f t="shared" si="1"/>
        <v>760089.48708690412</v>
      </c>
      <c r="K61" s="605">
        <v>881703.80502080871</v>
      </c>
      <c r="L61" s="605">
        <v>881703.80502080871</v>
      </c>
      <c r="M61" s="436"/>
    </row>
    <row r="62" spans="1:13" ht="30" customHeight="1" x14ac:dyDescent="0.2">
      <c r="A62" s="660">
        <v>4</v>
      </c>
      <c r="B62" s="611" t="s">
        <v>168</v>
      </c>
      <c r="C62" s="672">
        <v>12500</v>
      </c>
      <c r="D62" s="612" t="s">
        <v>77</v>
      </c>
      <c r="E62" s="604">
        <v>2800</v>
      </c>
      <c r="F62" s="604">
        <f>+E62*C62</f>
        <v>35000000</v>
      </c>
      <c r="G62" s="605"/>
      <c r="H62" s="605">
        <f>+K62/1.16</f>
        <v>958.52706968807922</v>
      </c>
      <c r="I62" s="605">
        <f>+G62*C62</f>
        <v>0</v>
      </c>
      <c r="J62" s="605">
        <f t="shared" si="1"/>
        <v>11981588.37110099</v>
      </c>
      <c r="K62" s="605">
        <v>1111.8914008381719</v>
      </c>
      <c r="L62" s="605">
        <v>13898642.510477148</v>
      </c>
      <c r="M62" s="436"/>
    </row>
    <row r="63" spans="1:13" x14ac:dyDescent="0.2">
      <c r="A63" s="661"/>
      <c r="B63" s="616" t="s">
        <v>258</v>
      </c>
      <c r="C63" s="617"/>
      <c r="D63" s="617"/>
      <c r="E63" s="617"/>
      <c r="F63" s="617"/>
      <c r="G63" s="617"/>
      <c r="H63" s="617"/>
      <c r="I63" s="617"/>
      <c r="J63" s="618"/>
      <c r="K63" s="610"/>
      <c r="L63" s="610">
        <v>0</v>
      </c>
      <c r="M63" s="436"/>
    </row>
    <row r="64" spans="1:13" x14ac:dyDescent="0.2">
      <c r="A64" s="660">
        <v>1</v>
      </c>
      <c r="B64" s="611" t="s">
        <v>683</v>
      </c>
      <c r="C64" s="667">
        <v>1</v>
      </c>
      <c r="D64" s="612" t="s">
        <v>106</v>
      </c>
      <c r="E64" s="604">
        <v>3200000</v>
      </c>
      <c r="F64" s="604">
        <f>+E64*C64</f>
        <v>3200000</v>
      </c>
      <c r="G64" s="605"/>
      <c r="H64" s="605">
        <f>+K64/1.16</f>
        <v>11624205.315250833</v>
      </c>
      <c r="I64" s="605">
        <f>+G64*C64</f>
        <v>0</v>
      </c>
      <c r="J64" s="605">
        <f t="shared" si="1"/>
        <v>11624205.315250833</v>
      </c>
      <c r="K64" s="605">
        <v>13484078.165690964</v>
      </c>
      <c r="L64" s="605">
        <v>13484078.165690964</v>
      </c>
      <c r="M64" s="436"/>
    </row>
    <row r="65" spans="1:20" x14ac:dyDescent="0.2">
      <c r="A65" s="660">
        <v>2</v>
      </c>
      <c r="B65" s="611" t="s">
        <v>665</v>
      </c>
      <c r="C65" s="667">
        <v>1</v>
      </c>
      <c r="D65" s="612" t="s">
        <v>119</v>
      </c>
      <c r="E65" s="604">
        <v>15600000</v>
      </c>
      <c r="F65" s="604">
        <f>+E65*C65</f>
        <v>15600000</v>
      </c>
      <c r="G65" s="605"/>
      <c r="H65" s="605">
        <f>+K65/1.16</f>
        <v>40348625.827112682</v>
      </c>
      <c r="I65" s="605">
        <f>+G65*C65</f>
        <v>0</v>
      </c>
      <c r="J65" s="605">
        <f t="shared" si="1"/>
        <v>40348625.827112682</v>
      </c>
      <c r="K65" s="605">
        <v>46804405.959450707</v>
      </c>
      <c r="L65" s="605">
        <v>46804405.959450707</v>
      </c>
      <c r="M65" s="436"/>
    </row>
    <row r="66" spans="1:20" x14ac:dyDescent="0.2">
      <c r="A66" s="658"/>
      <c r="B66" s="616" t="s">
        <v>254</v>
      </c>
      <c r="C66" s="617"/>
      <c r="D66" s="617"/>
      <c r="E66" s="617"/>
      <c r="F66" s="617"/>
      <c r="G66" s="617"/>
      <c r="H66" s="617"/>
      <c r="I66" s="617"/>
      <c r="J66" s="618"/>
      <c r="K66" s="615"/>
      <c r="L66" s="615">
        <v>0</v>
      </c>
      <c r="M66" s="436"/>
    </row>
    <row r="67" spans="1:20" ht="12" customHeight="1" x14ac:dyDescent="0.2">
      <c r="A67" s="660">
        <v>1</v>
      </c>
      <c r="B67" s="602" t="s">
        <v>162</v>
      </c>
      <c r="C67" s="667">
        <v>1</v>
      </c>
      <c r="D67" s="619" t="s">
        <v>77</v>
      </c>
      <c r="E67" s="613">
        <v>100000000</v>
      </c>
      <c r="F67" s="604">
        <v>100000000</v>
      </c>
      <c r="G67" s="620"/>
      <c r="H67" s="605">
        <f>+K67/1.16</f>
        <v>83329844.918893054</v>
      </c>
      <c r="I67" s="605">
        <f>+G67*C67</f>
        <v>0</v>
      </c>
      <c r="J67" s="605">
        <f t="shared" si="1"/>
        <v>83329844.918893054</v>
      </c>
      <c r="K67" s="605">
        <v>96662620.105915934</v>
      </c>
      <c r="L67" s="605">
        <v>96662620.105915934</v>
      </c>
      <c r="M67" s="436"/>
    </row>
    <row r="68" spans="1:20" x14ac:dyDescent="0.2">
      <c r="A68" s="657"/>
      <c r="B68" s="621" t="s">
        <v>255</v>
      </c>
      <c r="C68" s="622"/>
      <c r="D68" s="622"/>
      <c r="E68" s="622"/>
      <c r="F68" s="622"/>
      <c r="G68" s="622"/>
      <c r="H68" s="622"/>
      <c r="I68" s="622"/>
      <c r="J68" s="623"/>
      <c r="K68" s="610"/>
      <c r="L68" s="610">
        <v>0</v>
      </c>
      <c r="M68" s="436"/>
    </row>
    <row r="69" spans="1:20" x14ac:dyDescent="0.2">
      <c r="A69" s="660">
        <v>1</v>
      </c>
      <c r="B69" s="611" t="s">
        <v>103</v>
      </c>
      <c r="C69" s="667">
        <v>10</v>
      </c>
      <c r="D69" s="624" t="s">
        <v>105</v>
      </c>
      <c r="E69" s="613">
        <v>35000000</v>
      </c>
      <c r="F69" s="604">
        <f>C69*E69</f>
        <v>350000000</v>
      </c>
      <c r="G69" s="605"/>
      <c r="H69" s="605">
        <f>+K69/1.16</f>
        <v>8602951.7151570823</v>
      </c>
      <c r="I69" s="605">
        <f>+G69*C69</f>
        <v>0</v>
      </c>
      <c r="J69" s="605">
        <f t="shared" si="1"/>
        <v>86029517.151570827</v>
      </c>
      <c r="K69" s="605">
        <v>9979423.9895822145</v>
      </c>
      <c r="L69" s="605">
        <v>99794239.895822138</v>
      </c>
      <c r="M69" s="436"/>
    </row>
    <row r="70" spans="1:20" x14ac:dyDescent="0.2">
      <c r="A70" s="662"/>
      <c r="B70" s="625" t="s">
        <v>676</v>
      </c>
      <c r="C70" s="668"/>
      <c r="D70" s="626"/>
      <c r="E70" s="627"/>
      <c r="F70" s="627"/>
      <c r="G70" s="628"/>
      <c r="H70" s="628"/>
      <c r="I70" s="628">
        <f>+SUM(I11:I69)</f>
        <v>0</v>
      </c>
      <c r="J70" s="628">
        <f>+SUM(J11:J69)</f>
        <v>966191734.98781097</v>
      </c>
      <c r="K70" s="610"/>
      <c r="L70" s="610">
        <v>1120782412.5858605</v>
      </c>
      <c r="M70" s="436"/>
    </row>
    <row r="71" spans="1:20" hidden="1" x14ac:dyDescent="0.2">
      <c r="A71" s="658"/>
      <c r="B71" s="629" t="s">
        <v>244</v>
      </c>
      <c r="C71" s="630"/>
      <c r="D71" s="629"/>
      <c r="E71" s="631"/>
      <c r="F71" s="631"/>
      <c r="G71" s="615"/>
      <c r="H71" s="632"/>
      <c r="I71" s="632"/>
      <c r="J71" s="615">
        <f t="shared" si="1"/>
        <v>0</v>
      </c>
      <c r="K71" s="632"/>
      <c r="L71" s="615"/>
      <c r="M71" s="436"/>
    </row>
    <row r="72" spans="1:20" hidden="1" x14ac:dyDescent="0.2">
      <c r="A72" s="663"/>
      <c r="B72" s="633" t="s">
        <v>246</v>
      </c>
      <c r="C72" s="630">
        <v>10</v>
      </c>
      <c r="D72" s="634" t="s">
        <v>105</v>
      </c>
      <c r="E72" s="635"/>
      <c r="F72" s="635"/>
      <c r="G72" s="615"/>
      <c r="H72" s="615"/>
      <c r="I72" s="615"/>
      <c r="J72" s="615">
        <f t="shared" si="1"/>
        <v>0</v>
      </c>
      <c r="K72" s="615"/>
      <c r="L72" s="615">
        <v>0</v>
      </c>
      <c r="M72" s="436"/>
    </row>
    <row r="73" spans="1:20" x14ac:dyDescent="0.2">
      <c r="A73" s="664"/>
      <c r="B73" s="636" t="s">
        <v>671</v>
      </c>
      <c r="C73" s="630"/>
      <c r="D73" s="637" t="s">
        <v>668</v>
      </c>
      <c r="E73" s="638"/>
      <c r="F73" s="638"/>
      <c r="G73" s="632"/>
      <c r="H73" s="615">
        <v>7</v>
      </c>
      <c r="I73" s="639">
        <f>I70*G73</f>
        <v>0</v>
      </c>
      <c r="J73" s="615">
        <f>+J70*0.07</f>
        <v>67633421.449146777</v>
      </c>
      <c r="K73" s="610"/>
      <c r="L73" s="610"/>
      <c r="M73" s="436"/>
    </row>
    <row r="74" spans="1:20" x14ac:dyDescent="0.2">
      <c r="A74" s="662"/>
      <c r="B74" s="625" t="s">
        <v>669</v>
      </c>
      <c r="C74" s="669"/>
      <c r="D74" s="640"/>
      <c r="E74" s="640"/>
      <c r="F74" s="640"/>
      <c r="G74" s="641"/>
      <c r="H74" s="641"/>
      <c r="I74" s="641">
        <f>+I73+I70</f>
        <v>0</v>
      </c>
      <c r="J74" s="641">
        <f>+J73+J70</f>
        <v>1033825156.4369577</v>
      </c>
      <c r="K74" s="610"/>
      <c r="L74" s="610"/>
      <c r="M74" s="436"/>
    </row>
    <row r="75" spans="1:20" ht="13.5" customHeight="1" x14ac:dyDescent="0.2">
      <c r="A75" s="663"/>
      <c r="B75" s="636" t="s">
        <v>667</v>
      </c>
      <c r="C75" s="670"/>
      <c r="D75" s="642" t="s">
        <v>668</v>
      </c>
      <c r="E75" s="643"/>
      <c r="F75" s="643"/>
      <c r="G75" s="644"/>
      <c r="H75" s="610">
        <v>16</v>
      </c>
      <c r="I75" s="610">
        <f>I74*G75</f>
        <v>0</v>
      </c>
      <c r="J75" s="615">
        <f>+J74*0.16</f>
        <v>165412025.02991325</v>
      </c>
      <c r="K75" s="615"/>
      <c r="L75" s="615">
        <v>67633421.449146762</v>
      </c>
      <c r="M75" s="436"/>
    </row>
    <row r="76" spans="1:20" x14ac:dyDescent="0.2">
      <c r="A76" s="665"/>
      <c r="B76" s="625" t="s">
        <v>670</v>
      </c>
      <c r="C76" s="671"/>
      <c r="D76" s="646"/>
      <c r="E76" s="647"/>
      <c r="F76" s="647"/>
      <c r="G76" s="641"/>
      <c r="H76" s="628"/>
      <c r="I76" s="641">
        <f>+I75+I74</f>
        <v>0</v>
      </c>
      <c r="J76" s="641">
        <f>+J75+J74</f>
        <v>1199237181.466871</v>
      </c>
      <c r="K76" s="615"/>
      <c r="L76" s="615">
        <v>1033825156.4369576</v>
      </c>
      <c r="M76" s="436"/>
    </row>
    <row r="77" spans="1:20" hidden="1" x14ac:dyDescent="0.2">
      <c r="A77" s="190"/>
      <c r="B77" s="259" t="s">
        <v>250</v>
      </c>
      <c r="C77" s="437"/>
      <c r="D77" s="139"/>
      <c r="E77" s="261"/>
      <c r="F77" s="261"/>
      <c r="G77" s="262"/>
      <c r="H77" s="262"/>
      <c r="I77" s="262"/>
      <c r="J77" s="262"/>
      <c r="K77" s="262"/>
      <c r="L77" s="262">
        <v>1199237181.4668708</v>
      </c>
      <c r="M77" s="436"/>
    </row>
    <row r="80" spans="1:20" s="188" customFormat="1" x14ac:dyDescent="0.2">
      <c r="A80" s="187"/>
      <c r="B80" s="173"/>
      <c r="C80" s="438"/>
      <c r="D80" s="174"/>
      <c r="E80" s="178"/>
      <c r="F80" s="178"/>
      <c r="G80" s="215"/>
      <c r="H80" s="215"/>
      <c r="I80" s="215"/>
      <c r="J80" s="215"/>
      <c r="K80" s="215"/>
      <c r="L80" s="215"/>
      <c r="M80" s="137"/>
      <c r="N80" s="137"/>
      <c r="O80" s="137"/>
      <c r="P80" s="137"/>
      <c r="Q80" s="137"/>
      <c r="R80" s="137"/>
      <c r="S80" s="137"/>
      <c r="T80" s="137"/>
    </row>
    <row r="81" spans="1:20" s="188" customFormat="1" x14ac:dyDescent="0.2">
      <c r="A81" s="187"/>
      <c r="B81" s="173"/>
      <c r="C81" s="438"/>
      <c r="D81" s="174"/>
      <c r="E81" s="178"/>
      <c r="F81" s="178"/>
      <c r="G81" s="215"/>
      <c r="H81" s="215"/>
      <c r="I81" s="215"/>
      <c r="J81" s="215"/>
      <c r="K81" s="215"/>
      <c r="L81" s="215"/>
      <c r="M81" s="137"/>
      <c r="N81" s="137"/>
      <c r="O81" s="137"/>
      <c r="P81" s="137"/>
      <c r="Q81" s="137"/>
      <c r="R81" s="137"/>
      <c r="S81" s="137"/>
      <c r="T81" s="137"/>
    </row>
    <row r="82" spans="1:20" s="188" customFormat="1" x14ac:dyDescent="0.2">
      <c r="A82" s="187"/>
      <c r="B82" s="173"/>
      <c r="C82" s="438"/>
      <c r="D82" s="174"/>
      <c r="E82" s="178"/>
      <c r="F82" s="178"/>
      <c r="G82" s="215"/>
      <c r="H82" s="215"/>
      <c r="I82" s="215"/>
      <c r="J82" s="215"/>
      <c r="K82" s="215"/>
      <c r="L82" s="215"/>
      <c r="M82" s="137"/>
      <c r="N82" s="137"/>
      <c r="O82" s="137"/>
      <c r="P82" s="137"/>
      <c r="Q82" s="137"/>
      <c r="R82" s="137"/>
      <c r="S82" s="137"/>
      <c r="T82" s="137"/>
    </row>
    <row r="83" spans="1:20" s="188" customFormat="1" x14ac:dyDescent="0.2">
      <c r="A83" s="187"/>
      <c r="B83" s="173"/>
      <c r="C83" s="438"/>
      <c r="D83" s="174"/>
      <c r="E83" s="178"/>
      <c r="F83" s="178"/>
      <c r="G83" s="215"/>
      <c r="H83" s="215"/>
      <c r="I83" s="215"/>
      <c r="J83" s="215"/>
      <c r="K83" s="215"/>
      <c r="L83" s="215"/>
      <c r="M83" s="137"/>
      <c r="N83" s="137"/>
      <c r="O83" s="137"/>
      <c r="P83" s="137"/>
      <c r="Q83" s="137"/>
      <c r="R83" s="137"/>
      <c r="S83" s="137"/>
      <c r="T83" s="137"/>
    </row>
    <row r="84" spans="1:20" s="188" customFormat="1" x14ac:dyDescent="0.2">
      <c r="A84" s="187"/>
      <c r="B84" s="173"/>
      <c r="C84" s="438"/>
      <c r="D84" s="174"/>
      <c r="E84" s="178"/>
      <c r="F84" s="178"/>
      <c r="G84" s="215"/>
      <c r="H84" s="215"/>
      <c r="I84" s="215"/>
      <c r="J84" s="215"/>
      <c r="K84" s="215"/>
      <c r="L84" s="215"/>
      <c r="M84" s="137"/>
      <c r="N84" s="137"/>
      <c r="O84" s="137"/>
      <c r="P84" s="137"/>
      <c r="Q84" s="137"/>
      <c r="R84" s="137"/>
      <c r="S84" s="137"/>
      <c r="T84" s="137"/>
    </row>
    <row r="85" spans="1:20" s="188" customFormat="1" x14ac:dyDescent="0.2">
      <c r="A85" s="187"/>
      <c r="B85" s="173"/>
      <c r="C85" s="438"/>
      <c r="D85" s="174"/>
      <c r="E85" s="178"/>
      <c r="F85" s="178"/>
      <c r="G85" s="215"/>
      <c r="H85" s="215"/>
      <c r="I85" s="215"/>
      <c r="J85" s="215"/>
      <c r="K85" s="215"/>
      <c r="L85" s="215"/>
      <c r="M85" s="137"/>
      <c r="N85" s="137"/>
      <c r="O85" s="137"/>
      <c r="P85" s="137"/>
      <c r="Q85" s="137"/>
      <c r="R85" s="137"/>
      <c r="S85" s="137"/>
      <c r="T85" s="137"/>
    </row>
    <row r="86" spans="1:20" s="188" customFormat="1" x14ac:dyDescent="0.2">
      <c r="A86" s="187"/>
      <c r="B86" s="173"/>
      <c r="C86" s="438"/>
      <c r="D86" s="174"/>
      <c r="E86" s="178"/>
      <c r="F86" s="178"/>
      <c r="G86" s="215"/>
      <c r="H86" s="215"/>
      <c r="I86" s="215"/>
      <c r="J86" s="215"/>
      <c r="K86" s="215"/>
      <c r="L86" s="215"/>
      <c r="M86" s="137"/>
      <c r="N86" s="137"/>
      <c r="O86" s="137"/>
      <c r="P86" s="137"/>
      <c r="Q86" s="137"/>
      <c r="R86" s="137"/>
      <c r="S86" s="137"/>
      <c r="T86" s="137"/>
    </row>
    <row r="87" spans="1:20" s="188" customFormat="1" x14ac:dyDescent="0.2">
      <c r="A87" s="187"/>
      <c r="B87" s="173"/>
      <c r="C87" s="438"/>
      <c r="D87" s="174"/>
      <c r="E87" s="178"/>
      <c r="F87" s="178"/>
      <c r="G87" s="215"/>
      <c r="H87" s="215"/>
      <c r="I87" s="215"/>
      <c r="J87" s="215"/>
      <c r="K87" s="215"/>
      <c r="L87" s="215"/>
      <c r="M87" s="137"/>
      <c r="N87" s="137"/>
      <c r="O87" s="137"/>
      <c r="P87" s="137"/>
      <c r="Q87" s="137"/>
      <c r="R87" s="137"/>
      <c r="S87" s="137"/>
      <c r="T87" s="137"/>
    </row>
    <row r="88" spans="1:20" s="188" customFormat="1" x14ac:dyDescent="0.2">
      <c r="A88" s="187"/>
      <c r="B88" s="173"/>
      <c r="C88" s="438"/>
      <c r="D88" s="174"/>
      <c r="E88" s="178"/>
      <c r="F88" s="178"/>
      <c r="G88" s="215"/>
      <c r="H88" s="215"/>
      <c r="I88" s="215"/>
      <c r="J88" s="215"/>
      <c r="K88" s="215"/>
      <c r="L88" s="215"/>
      <c r="M88" s="137"/>
      <c r="N88" s="137"/>
      <c r="O88" s="137"/>
      <c r="P88" s="137"/>
      <c r="Q88" s="137"/>
      <c r="R88" s="137"/>
      <c r="S88" s="137"/>
      <c r="T88" s="137"/>
    </row>
    <row r="89" spans="1:20" s="188" customFormat="1" x14ac:dyDescent="0.2">
      <c r="A89" s="187"/>
      <c r="B89" s="173"/>
      <c r="C89" s="438"/>
      <c r="D89" s="174"/>
      <c r="E89" s="178"/>
      <c r="F89" s="178"/>
      <c r="G89" s="215"/>
      <c r="H89" s="215"/>
      <c r="I89" s="215"/>
      <c r="J89" s="215"/>
      <c r="K89" s="215"/>
      <c r="L89" s="215"/>
      <c r="M89" s="137"/>
      <c r="N89" s="137"/>
      <c r="O89" s="137"/>
      <c r="P89" s="137"/>
      <c r="Q89" s="137"/>
      <c r="R89" s="137"/>
      <c r="S89" s="137"/>
      <c r="T89" s="137"/>
    </row>
    <row r="90" spans="1:20" s="188" customFormat="1" x14ac:dyDescent="0.2">
      <c r="A90" s="187"/>
      <c r="B90" s="173"/>
      <c r="C90" s="438"/>
      <c r="D90" s="174"/>
      <c r="E90" s="178"/>
      <c r="F90" s="178"/>
      <c r="G90" s="215"/>
      <c r="H90" s="215"/>
      <c r="I90" s="215"/>
      <c r="J90" s="215"/>
      <c r="K90" s="215"/>
      <c r="L90" s="215"/>
      <c r="M90" s="137"/>
      <c r="N90" s="137"/>
      <c r="O90" s="137"/>
      <c r="P90" s="137"/>
      <c r="Q90" s="137"/>
      <c r="R90" s="137"/>
      <c r="S90" s="137"/>
      <c r="T90" s="137"/>
    </row>
    <row r="91" spans="1:20" s="188" customFormat="1" x14ac:dyDescent="0.2">
      <c r="A91" s="187"/>
      <c r="B91" s="173"/>
      <c r="C91" s="438"/>
      <c r="D91" s="174"/>
      <c r="E91" s="178"/>
      <c r="F91" s="178"/>
      <c r="G91" s="215"/>
      <c r="H91" s="215"/>
      <c r="I91" s="215"/>
      <c r="J91" s="215"/>
      <c r="K91" s="215"/>
      <c r="L91" s="215"/>
      <c r="M91" s="137"/>
      <c r="N91" s="137"/>
      <c r="O91" s="137"/>
      <c r="P91" s="137"/>
      <c r="Q91" s="137"/>
      <c r="R91" s="137"/>
      <c r="S91" s="137"/>
      <c r="T91" s="137"/>
    </row>
    <row r="92" spans="1:20" s="188" customFormat="1" x14ac:dyDescent="0.2">
      <c r="A92" s="187"/>
      <c r="B92" s="173"/>
      <c r="C92" s="438"/>
      <c r="D92" s="174"/>
      <c r="E92" s="178"/>
      <c r="F92" s="178"/>
      <c r="G92" s="215"/>
      <c r="H92" s="215"/>
      <c r="I92" s="215"/>
      <c r="J92" s="215"/>
      <c r="K92" s="215"/>
      <c r="L92" s="215"/>
      <c r="M92" s="137"/>
      <c r="N92" s="137"/>
      <c r="O92" s="137"/>
      <c r="P92" s="137"/>
      <c r="Q92" s="137"/>
      <c r="R92" s="137"/>
      <c r="S92" s="137"/>
      <c r="T92" s="137"/>
    </row>
    <row r="93" spans="1:20" s="188" customFormat="1" ht="15.75" customHeight="1" x14ac:dyDescent="0.2">
      <c r="A93" s="187"/>
      <c r="B93" s="173"/>
      <c r="C93" s="438"/>
      <c r="D93" s="174"/>
      <c r="E93" s="178"/>
      <c r="F93" s="178"/>
      <c r="G93" s="215"/>
      <c r="H93" s="215"/>
      <c r="I93" s="215"/>
      <c r="J93" s="215"/>
      <c r="K93" s="215"/>
      <c r="L93" s="215"/>
      <c r="M93" s="137"/>
      <c r="N93" s="137"/>
      <c r="O93" s="137"/>
      <c r="P93" s="137"/>
      <c r="Q93" s="137"/>
      <c r="R93" s="137"/>
      <c r="S93" s="137"/>
      <c r="T93" s="137"/>
    </row>
    <row r="94" spans="1:20" s="188" customFormat="1" x14ac:dyDescent="0.2">
      <c r="A94" s="187"/>
      <c r="B94" s="173"/>
      <c r="C94" s="438"/>
      <c r="D94" s="174"/>
      <c r="E94" s="178"/>
      <c r="F94" s="178"/>
      <c r="G94" s="215"/>
      <c r="H94" s="215"/>
      <c r="I94" s="215"/>
      <c r="J94" s="215"/>
      <c r="K94" s="215"/>
      <c r="L94" s="215"/>
      <c r="M94" s="137"/>
      <c r="N94" s="137"/>
      <c r="O94" s="137"/>
      <c r="P94" s="137"/>
      <c r="Q94" s="137"/>
      <c r="R94" s="137"/>
      <c r="S94" s="137"/>
      <c r="T94" s="137"/>
    </row>
    <row r="95" spans="1:20" s="188" customFormat="1" x14ac:dyDescent="0.2">
      <c r="A95" s="187"/>
      <c r="B95" s="173"/>
      <c r="C95" s="438"/>
      <c r="D95" s="174"/>
      <c r="E95" s="178"/>
      <c r="F95" s="178"/>
      <c r="G95" s="215"/>
      <c r="H95" s="215"/>
      <c r="I95" s="215"/>
      <c r="J95" s="215"/>
      <c r="K95" s="215"/>
      <c r="L95" s="215"/>
      <c r="M95" s="137"/>
      <c r="N95" s="137"/>
      <c r="O95" s="137"/>
      <c r="P95" s="137"/>
      <c r="Q95" s="137"/>
      <c r="R95" s="137"/>
      <c r="S95" s="137"/>
      <c r="T95" s="137"/>
    </row>
    <row r="96" spans="1:20" s="188" customFormat="1" ht="12.75" customHeight="1" x14ac:dyDescent="0.2">
      <c r="A96" s="187"/>
      <c r="B96" s="173"/>
      <c r="C96" s="438"/>
      <c r="D96" s="174"/>
      <c r="E96" s="178"/>
      <c r="F96" s="178"/>
      <c r="G96" s="215"/>
      <c r="H96" s="215"/>
      <c r="I96" s="215"/>
      <c r="J96" s="215"/>
      <c r="K96" s="215"/>
      <c r="L96" s="215"/>
      <c r="M96" s="137"/>
      <c r="N96" s="137"/>
      <c r="O96" s="137"/>
      <c r="P96" s="137"/>
      <c r="Q96" s="137"/>
      <c r="R96" s="137"/>
      <c r="S96" s="137"/>
      <c r="T96" s="137"/>
    </row>
    <row r="97" spans="1:20" s="188" customFormat="1" ht="13.5" customHeight="1" x14ac:dyDescent="0.2">
      <c r="A97" s="187"/>
      <c r="B97" s="173"/>
      <c r="C97" s="438"/>
      <c r="D97" s="174"/>
      <c r="E97" s="178"/>
      <c r="F97" s="178"/>
      <c r="G97" s="215"/>
      <c r="H97" s="215"/>
      <c r="I97" s="215"/>
      <c r="J97" s="215"/>
      <c r="K97" s="215"/>
      <c r="L97" s="215"/>
      <c r="M97" s="137"/>
      <c r="N97" s="137"/>
      <c r="O97" s="137"/>
      <c r="P97" s="137"/>
      <c r="Q97" s="137"/>
      <c r="R97" s="137"/>
      <c r="S97" s="137"/>
      <c r="T97" s="137"/>
    </row>
    <row r="98" spans="1:20" s="188" customFormat="1" x14ac:dyDescent="0.2">
      <c r="A98" s="187"/>
      <c r="B98" s="173"/>
      <c r="C98" s="438"/>
      <c r="D98" s="174"/>
      <c r="E98" s="178"/>
      <c r="F98" s="178"/>
      <c r="G98" s="215"/>
      <c r="H98" s="215"/>
      <c r="I98" s="215"/>
      <c r="J98" s="215"/>
      <c r="K98" s="215"/>
      <c r="L98" s="215"/>
      <c r="M98" s="137"/>
      <c r="N98" s="137"/>
      <c r="O98" s="137"/>
      <c r="P98" s="137"/>
      <c r="Q98" s="137"/>
      <c r="R98" s="137"/>
      <c r="S98" s="137"/>
      <c r="T98" s="137"/>
    </row>
  </sheetData>
  <mergeCells count="15">
    <mergeCell ref="B10:J10"/>
    <mergeCell ref="A8:A9"/>
    <mergeCell ref="B8:B9"/>
    <mergeCell ref="C8:C9"/>
    <mergeCell ref="D8:D9"/>
    <mergeCell ref="G8:G9"/>
    <mergeCell ref="H8:H9"/>
    <mergeCell ref="I8:I9"/>
    <mergeCell ref="J8:J9"/>
    <mergeCell ref="B68:J68"/>
    <mergeCell ref="B20:J20"/>
    <mergeCell ref="B66:J66"/>
    <mergeCell ref="B63:J63"/>
    <mergeCell ref="B58:F58"/>
    <mergeCell ref="A7:L7"/>
  </mergeCells>
  <pageMargins left="0.25" right="0.25" top="0.75" bottom="0.75" header="0.3" footer="0.3"/>
  <pageSetup scale="91" fitToHeight="0" orientation="landscape" r:id="rId1"/>
  <rowBreaks count="1" manualBreakCount="1">
    <brk id="39"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PageLayoutView="125" workbookViewId="0">
      <pane xSplit="2" ySplit="11" topLeftCell="E12" activePane="bottomRight" state="frozen"/>
      <selection pane="topRight" activeCell="C1" sqref="C1"/>
      <selection pane="bottomLeft" activeCell="A12" sqref="A12"/>
      <selection pane="bottomRight" activeCell="H9" sqref="H9"/>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customWidth="1"/>
    <col min="6" max="6" width="20.28515625" style="178" customWidth="1"/>
    <col min="7" max="7" width="14.85546875" style="215" customWidth="1"/>
    <col min="8" max="8" width="14.85546875" style="215" bestFit="1" customWidth="1"/>
    <col min="9" max="10" width="14.85546875" style="215" customWidth="1"/>
    <col min="11" max="12" width="14.85546875" style="215" bestFit="1" customWidth="1"/>
    <col min="13" max="16384" width="10.85546875" style="137"/>
  </cols>
  <sheetData>
    <row r="1" spans="1:12" x14ac:dyDescent="0.2">
      <c r="B1" s="213" t="s">
        <v>191</v>
      </c>
    </row>
    <row r="2" spans="1:12" x14ac:dyDescent="0.2">
      <c r="B2" s="213" t="s">
        <v>192</v>
      </c>
    </row>
    <row r="3" spans="1:12" x14ac:dyDescent="0.2">
      <c r="B3" s="213" t="s">
        <v>194</v>
      </c>
    </row>
    <row r="4" spans="1:12" x14ac:dyDescent="0.2">
      <c r="B4" s="214" t="s">
        <v>161</v>
      </c>
    </row>
    <row r="5" spans="1:12" ht="15" x14ac:dyDescent="0.25">
      <c r="B5" s="213" t="s">
        <v>160</v>
      </c>
      <c r="H5"/>
    </row>
    <row r="6" spans="1:12" ht="15" x14ac:dyDescent="0.25">
      <c r="B6" s="213" t="s">
        <v>193</v>
      </c>
      <c r="H6"/>
    </row>
    <row r="7" spans="1:12" x14ac:dyDescent="0.2">
      <c r="H7" s="175"/>
    </row>
    <row r="8" spans="1:12" ht="15" customHeight="1" x14ac:dyDescent="0.2">
      <c r="A8" s="545" t="s">
        <v>102</v>
      </c>
      <c r="B8" s="545"/>
      <c r="C8" s="545"/>
      <c r="D8" s="545"/>
      <c r="E8" s="545"/>
      <c r="F8" s="545"/>
    </row>
    <row r="9" spans="1:12" ht="51" x14ac:dyDescent="0.2">
      <c r="A9" s="546" t="s">
        <v>62</v>
      </c>
      <c r="B9" s="547"/>
      <c r="C9" s="138" t="s">
        <v>63</v>
      </c>
      <c r="D9" s="139" t="s">
        <v>64</v>
      </c>
      <c r="E9" s="179" t="s">
        <v>101</v>
      </c>
      <c r="F9" s="179" t="s">
        <v>61</v>
      </c>
      <c r="G9" s="175" t="s">
        <v>222</v>
      </c>
      <c r="H9" s="175" t="s">
        <v>224</v>
      </c>
      <c r="I9" s="175" t="s">
        <v>226</v>
      </c>
      <c r="J9" s="215" t="s">
        <v>241</v>
      </c>
    </row>
    <row r="10" spans="1:12" x14ac:dyDescent="0.2">
      <c r="A10" s="141"/>
      <c r="B10" s="142" t="s">
        <v>117</v>
      </c>
      <c r="C10" s="138"/>
      <c r="D10" s="139"/>
      <c r="E10" s="179"/>
      <c r="F10" s="179"/>
      <c r="G10" s="218" t="s">
        <v>218</v>
      </c>
      <c r="H10" s="218" t="s">
        <v>219</v>
      </c>
      <c r="I10" s="218" t="s">
        <v>232</v>
      </c>
      <c r="J10" s="218" t="s">
        <v>233</v>
      </c>
      <c r="K10" s="218"/>
      <c r="L10" s="218"/>
    </row>
    <row r="11" spans="1:12" ht="40.5" customHeight="1" x14ac:dyDescent="0.2">
      <c r="A11" s="143" t="s">
        <v>129</v>
      </c>
      <c r="B11" s="142" t="s">
        <v>170</v>
      </c>
      <c r="C11" s="144"/>
      <c r="D11" s="142"/>
      <c r="E11" s="180"/>
      <c r="F11" s="180"/>
      <c r="G11" s="216" t="s">
        <v>101</v>
      </c>
      <c r="H11" s="216" t="s">
        <v>101</v>
      </c>
      <c r="I11" s="216" t="s">
        <v>101</v>
      </c>
      <c r="J11" s="216" t="s">
        <v>101</v>
      </c>
      <c r="K11" s="219" t="s">
        <v>220</v>
      </c>
      <c r="L11" s="219" t="s">
        <v>225</v>
      </c>
    </row>
    <row r="12" spans="1:12" x14ac:dyDescent="0.2">
      <c r="A12" s="146" t="s">
        <v>171</v>
      </c>
      <c r="B12" s="147" t="s">
        <v>127</v>
      </c>
      <c r="C12" s="148">
        <v>3</v>
      </c>
      <c r="D12" s="148" t="s">
        <v>111</v>
      </c>
      <c r="E12" s="181">
        <v>29700000</v>
      </c>
      <c r="F12" s="181">
        <f t="shared" ref="F12:F29" si="0">+E12*C12</f>
        <v>89100000</v>
      </c>
      <c r="G12" s="217">
        <f>+'C01_INICIAL'!F12</f>
        <v>29700000</v>
      </c>
      <c r="H12" s="251">
        <f>+'CO2'!F12</f>
        <v>143260000</v>
      </c>
      <c r="I12" s="217">
        <f>+'CO3'!F12</f>
        <v>34800000</v>
      </c>
      <c r="J12" s="217">
        <f>+'CO4'!F12</f>
        <v>14000000</v>
      </c>
      <c r="K12" s="217">
        <f>+AVERAGE(G12:J12)</f>
        <v>55440000</v>
      </c>
      <c r="L12" s="217">
        <f>+K12*C12</f>
        <v>166320000</v>
      </c>
    </row>
    <row r="13" spans="1:12" x14ac:dyDescent="0.2">
      <c r="A13" s="150" t="s">
        <v>171</v>
      </c>
      <c r="B13" s="147" t="s">
        <v>128</v>
      </c>
      <c r="C13" s="148">
        <v>2</v>
      </c>
      <c r="D13" s="148" t="s">
        <v>111</v>
      </c>
      <c r="E13" s="181">
        <v>29400000</v>
      </c>
      <c r="F13" s="181">
        <f t="shared" si="0"/>
        <v>58800000</v>
      </c>
      <c r="G13" s="217">
        <f>+'C01_INICIAL'!F13</f>
        <v>29400000</v>
      </c>
      <c r="H13" s="251">
        <f>+'CO2'!F13</f>
        <v>120640000</v>
      </c>
      <c r="I13" s="217">
        <f>+'CO3'!F13</f>
        <v>31320000</v>
      </c>
      <c r="J13" s="217">
        <f>+'CO4'!F13</f>
        <v>12600000</v>
      </c>
      <c r="K13" s="217">
        <f t="shared" ref="K13:K76" si="1">+AVERAGE(G13:J13)</f>
        <v>48490000</v>
      </c>
      <c r="L13" s="217">
        <f t="shared" ref="L13:L43" si="2">+K13*C13</f>
        <v>96980000</v>
      </c>
    </row>
    <row r="14" spans="1:12" x14ac:dyDescent="0.2">
      <c r="A14" s="150" t="s">
        <v>171</v>
      </c>
      <c r="B14" s="147" t="s">
        <v>186</v>
      </c>
      <c r="C14" s="148">
        <v>5</v>
      </c>
      <c r="D14" s="148" t="s">
        <v>110</v>
      </c>
      <c r="E14" s="181">
        <v>7300000</v>
      </c>
      <c r="F14" s="181">
        <f t="shared" si="0"/>
        <v>36500000</v>
      </c>
      <c r="G14" s="217">
        <f>+'C01_INICIAL'!F14</f>
        <v>7300000</v>
      </c>
      <c r="H14" s="251">
        <f>+'CO2'!F14</f>
        <v>180960000</v>
      </c>
      <c r="I14" s="217">
        <f>+'CO3'!F14</f>
        <v>7888000</v>
      </c>
      <c r="J14" s="217">
        <f>+'CO4'!F14</f>
        <v>15400000</v>
      </c>
      <c r="K14" s="217">
        <f t="shared" si="1"/>
        <v>52887000</v>
      </c>
      <c r="L14" s="217">
        <f t="shared" si="2"/>
        <v>264435000</v>
      </c>
    </row>
    <row r="15" spans="1:12" x14ac:dyDescent="0.2">
      <c r="A15" s="146" t="s">
        <v>171</v>
      </c>
      <c r="B15" s="147" t="s">
        <v>187</v>
      </c>
      <c r="C15" s="148">
        <v>5</v>
      </c>
      <c r="D15" s="148" t="s">
        <v>110</v>
      </c>
      <c r="E15" s="181">
        <v>5400000</v>
      </c>
      <c r="F15" s="181">
        <f t="shared" si="0"/>
        <v>27000000</v>
      </c>
      <c r="G15" s="217">
        <f>+'C01_INICIAL'!F15</f>
        <v>5400000</v>
      </c>
      <c r="H15" s="251">
        <f>+'CO2'!F15</f>
        <v>226200000</v>
      </c>
      <c r="I15" s="217">
        <f>+'CO3'!F15</f>
        <v>9280000</v>
      </c>
      <c r="J15" s="217">
        <f>+'CO4'!F15</f>
        <v>18200000</v>
      </c>
      <c r="K15" s="217">
        <f t="shared" si="1"/>
        <v>64770000</v>
      </c>
      <c r="L15" s="217">
        <f t="shared" si="2"/>
        <v>323850000</v>
      </c>
    </row>
    <row r="16" spans="1:12" x14ac:dyDescent="0.2">
      <c r="A16" s="146" t="s">
        <v>172</v>
      </c>
      <c r="B16" s="147" t="s">
        <v>113</v>
      </c>
      <c r="C16" s="148">
        <v>6</v>
      </c>
      <c r="D16" s="148" t="s">
        <v>114</v>
      </c>
      <c r="E16" s="181">
        <v>21000000</v>
      </c>
      <c r="F16" s="181">
        <f t="shared" si="0"/>
        <v>126000000</v>
      </c>
      <c r="G16" s="217">
        <f>+'C01_INICIAL'!F16</f>
        <v>21000000</v>
      </c>
      <c r="H16" s="251">
        <f>+'CO2'!F16</f>
        <v>64693200</v>
      </c>
      <c r="I16" s="217">
        <f>+'CO3'!F16</f>
        <v>87000000</v>
      </c>
      <c r="J16" s="217">
        <f>+'CO4'!F16</f>
        <v>23800000</v>
      </c>
      <c r="K16" s="217">
        <f t="shared" si="1"/>
        <v>49123300</v>
      </c>
      <c r="L16" s="217">
        <f t="shared" si="2"/>
        <v>294739800</v>
      </c>
    </row>
    <row r="17" spans="1:13" x14ac:dyDescent="0.2">
      <c r="A17" s="146" t="s">
        <v>173</v>
      </c>
      <c r="B17" s="147" t="s">
        <v>107</v>
      </c>
      <c r="C17" s="151">
        <v>16</v>
      </c>
      <c r="D17" s="148" t="s">
        <v>123</v>
      </c>
      <c r="E17" s="181">
        <v>14500000</v>
      </c>
      <c r="F17" s="181">
        <f t="shared" si="0"/>
        <v>232000000</v>
      </c>
      <c r="G17" s="217">
        <f>+'C01_INICIAL'!F17</f>
        <v>14500000</v>
      </c>
      <c r="H17" s="251">
        <f>+'CO2'!F17</f>
        <v>180000000</v>
      </c>
      <c r="I17" s="217">
        <f>+'CO3'!F17</f>
        <v>29000000</v>
      </c>
      <c r="J17" s="217">
        <f>+'CO4'!F17</f>
        <v>26600000</v>
      </c>
      <c r="K17" s="217">
        <f t="shared" si="1"/>
        <v>62525000</v>
      </c>
      <c r="L17" s="217">
        <f t="shared" si="2"/>
        <v>1000400000</v>
      </c>
    </row>
    <row r="18" spans="1:13" x14ac:dyDescent="0.2">
      <c r="A18" s="152" t="s">
        <v>174</v>
      </c>
      <c r="B18" s="147" t="s">
        <v>151</v>
      </c>
      <c r="C18" s="148">
        <v>2</v>
      </c>
      <c r="D18" s="148" t="s">
        <v>145</v>
      </c>
      <c r="E18" s="181">
        <v>15400000</v>
      </c>
      <c r="F18" s="181">
        <f t="shared" si="0"/>
        <v>30800000</v>
      </c>
      <c r="G18" s="217">
        <f>+'C01_INICIAL'!F18</f>
        <v>15400000</v>
      </c>
      <c r="H18" s="251">
        <f>+'CO2'!F18</f>
        <v>250800000</v>
      </c>
      <c r="I18" s="217">
        <f>+'CO3'!F18</f>
        <v>17400000</v>
      </c>
      <c r="J18" s="217">
        <f>+'CO4'!F18</f>
        <v>4384800</v>
      </c>
      <c r="K18" s="217">
        <f t="shared" si="1"/>
        <v>71996200</v>
      </c>
      <c r="L18" s="217">
        <f t="shared" si="2"/>
        <v>143992400</v>
      </c>
    </row>
    <row r="19" spans="1:13" x14ac:dyDescent="0.2">
      <c r="A19" s="152">
        <v>2.4</v>
      </c>
      <c r="B19" s="147" t="s">
        <v>176</v>
      </c>
      <c r="C19" s="148">
        <v>2</v>
      </c>
      <c r="D19" s="148" t="s">
        <v>145</v>
      </c>
      <c r="E19" s="181">
        <v>21000000</v>
      </c>
      <c r="F19" s="181">
        <f t="shared" si="0"/>
        <v>42000000</v>
      </c>
      <c r="G19" s="217">
        <f>+'C01_INICIAL'!F19</f>
        <v>21000000</v>
      </c>
      <c r="H19" s="251">
        <f>+'CO2'!F19</f>
        <v>300800000</v>
      </c>
      <c r="I19" s="217">
        <f>+'CO3'!F19</f>
        <v>14160000</v>
      </c>
      <c r="J19" s="217">
        <f>+'CO4'!F19</f>
        <v>8769600</v>
      </c>
      <c r="K19" s="217">
        <f t="shared" si="1"/>
        <v>86182400</v>
      </c>
      <c r="L19" s="217">
        <f t="shared" si="2"/>
        <v>172364800</v>
      </c>
    </row>
    <row r="20" spans="1:13" ht="13.5" thickBot="1" x14ac:dyDescent="0.25">
      <c r="A20" s="152">
        <v>2.4</v>
      </c>
      <c r="B20" s="147" t="s">
        <v>153</v>
      </c>
      <c r="C20" s="148">
        <v>2</v>
      </c>
      <c r="D20" s="148" t="s">
        <v>145</v>
      </c>
      <c r="E20" s="182">
        <v>19000000</v>
      </c>
      <c r="F20" s="181">
        <f t="shared" si="0"/>
        <v>38000000</v>
      </c>
      <c r="G20" s="217">
        <f>+'C01_INICIAL'!F20</f>
        <v>19000000</v>
      </c>
      <c r="H20" s="251">
        <f>+'CO2'!F20</f>
        <v>150800000</v>
      </c>
      <c r="I20" s="217">
        <f>+'CO3'!F20</f>
        <v>23200000</v>
      </c>
      <c r="J20" s="217">
        <f>+'CO4'!F20</f>
        <v>8769600</v>
      </c>
      <c r="K20" s="217">
        <f t="shared" si="1"/>
        <v>50442400</v>
      </c>
      <c r="L20" s="217">
        <f t="shared" si="2"/>
        <v>100884800</v>
      </c>
    </row>
    <row r="21" spans="1:13" x14ac:dyDescent="0.2">
      <c r="A21" s="152">
        <v>2</v>
      </c>
      <c r="B21" s="147" t="s">
        <v>144</v>
      </c>
      <c r="C21" s="147">
        <v>10</v>
      </c>
      <c r="D21" s="147" t="s">
        <v>145</v>
      </c>
      <c r="E21" s="183">
        <v>5000000</v>
      </c>
      <c r="F21" s="181">
        <f t="shared" si="0"/>
        <v>50000000</v>
      </c>
      <c r="G21" s="251">
        <f>+'C01_INICIAL'!F21</f>
        <v>5000000</v>
      </c>
      <c r="H21" s="217">
        <f>+'CO2'!F21</f>
        <v>603200</v>
      </c>
      <c r="I21" s="217">
        <f>+'CO3'!F21</f>
        <v>348000</v>
      </c>
      <c r="J21" s="217">
        <f>+'CO4'!F21</f>
        <v>252000</v>
      </c>
      <c r="K21" s="217">
        <f t="shared" si="1"/>
        <v>1550800</v>
      </c>
      <c r="L21" s="217">
        <f t="shared" si="2"/>
        <v>15508000</v>
      </c>
    </row>
    <row r="22" spans="1:13" x14ac:dyDescent="0.2">
      <c r="A22" s="152">
        <v>2.1</v>
      </c>
      <c r="B22" s="147" t="s">
        <v>189</v>
      </c>
      <c r="C22" s="147">
        <v>48</v>
      </c>
      <c r="D22" s="147" t="s">
        <v>145</v>
      </c>
      <c r="E22" s="184">
        <v>3500000</v>
      </c>
      <c r="F22" s="181">
        <f t="shared" si="0"/>
        <v>168000000</v>
      </c>
      <c r="G22" s="251">
        <f>+'C01_INICIAL'!F22</f>
        <v>3500000</v>
      </c>
      <c r="H22" s="217">
        <f>+'CO2'!F22</f>
        <v>1885000</v>
      </c>
      <c r="I22" s="217">
        <f>+'CO3'!F22</f>
        <v>1160000</v>
      </c>
      <c r="J22" s="217">
        <f>+'CO4'!F22</f>
        <v>150000</v>
      </c>
      <c r="K22" s="217">
        <f t="shared" si="1"/>
        <v>1673750</v>
      </c>
      <c r="L22" s="217">
        <f t="shared" si="2"/>
        <v>80340000</v>
      </c>
    </row>
    <row r="23" spans="1:13" x14ac:dyDescent="0.2">
      <c r="A23" s="152">
        <v>2.1</v>
      </c>
      <c r="B23" s="147" t="s">
        <v>148</v>
      </c>
      <c r="C23" s="147">
        <v>8</v>
      </c>
      <c r="D23" s="147" t="s">
        <v>145</v>
      </c>
      <c r="E23" s="181">
        <v>1200000</v>
      </c>
      <c r="F23" s="181">
        <f t="shared" si="0"/>
        <v>9600000</v>
      </c>
      <c r="G23" s="217">
        <f>+'C01_INICIAL'!F23</f>
        <v>1200000</v>
      </c>
      <c r="H23" s="217">
        <f>+'CO2'!F23</f>
        <v>1017900</v>
      </c>
      <c r="I23" s="251">
        <f>+'CO3'!F23</f>
        <v>8921000</v>
      </c>
      <c r="J23" s="217">
        <f>+'CO4'!F23</f>
        <v>986000</v>
      </c>
      <c r="K23" s="217">
        <f t="shared" si="1"/>
        <v>3031225</v>
      </c>
      <c r="L23" s="217">
        <f t="shared" si="2"/>
        <v>24249800</v>
      </c>
    </row>
    <row r="24" spans="1:13" x14ac:dyDescent="0.2">
      <c r="A24" s="548">
        <v>2.1</v>
      </c>
      <c r="B24" s="551" t="s">
        <v>67</v>
      </c>
      <c r="C24" s="153">
        <v>8</v>
      </c>
      <c r="D24" s="154" t="s">
        <v>145</v>
      </c>
      <c r="E24" s="181">
        <v>280000</v>
      </c>
      <c r="F24" s="181">
        <f t="shared" si="0"/>
        <v>2240000</v>
      </c>
      <c r="G24" s="217">
        <f>+'C01_INICIAL'!F24</f>
        <v>280000</v>
      </c>
      <c r="H24" s="217">
        <f>+'CO2'!F24</f>
        <v>244296</v>
      </c>
      <c r="I24" s="217">
        <f>+'CO3'!F24</f>
        <v>250000</v>
      </c>
      <c r="J24" s="217">
        <f>+'CO4'!F24</f>
        <v>30000</v>
      </c>
      <c r="K24" s="217">
        <f t="shared" si="1"/>
        <v>201074</v>
      </c>
      <c r="L24" s="217">
        <f t="shared" si="2"/>
        <v>1608592</v>
      </c>
    </row>
    <row r="25" spans="1:13" x14ac:dyDescent="0.2">
      <c r="A25" s="549"/>
      <c r="B25" s="551"/>
      <c r="C25" s="153">
        <v>8</v>
      </c>
      <c r="D25" s="154" t="s">
        <v>145</v>
      </c>
      <c r="E25" s="181">
        <v>280000</v>
      </c>
      <c r="F25" s="181">
        <f t="shared" si="0"/>
        <v>2240000</v>
      </c>
      <c r="G25" s="217">
        <f>+'C01_INICIAL'!F25</f>
        <v>280000</v>
      </c>
      <c r="H25" s="217">
        <f>+'CO2'!F25</f>
        <v>203580</v>
      </c>
      <c r="I25" s="217">
        <f>+'CO3'!F25</f>
        <v>250000</v>
      </c>
      <c r="J25" s="217">
        <f>+'CO4'!F25</f>
        <v>25000</v>
      </c>
      <c r="K25" s="217">
        <f t="shared" si="1"/>
        <v>189645</v>
      </c>
      <c r="L25" s="217">
        <f t="shared" si="2"/>
        <v>1517160</v>
      </c>
    </row>
    <row r="26" spans="1:13" x14ac:dyDescent="0.2">
      <c r="A26" s="550"/>
      <c r="B26" s="551"/>
      <c r="C26" s="153">
        <v>8</v>
      </c>
      <c r="D26" s="154" t="s">
        <v>145</v>
      </c>
      <c r="E26" s="181">
        <v>160000</v>
      </c>
      <c r="F26" s="181">
        <f t="shared" si="0"/>
        <v>1280000</v>
      </c>
      <c r="G26" s="217">
        <f>+'C01_INICIAL'!F26</f>
        <v>160000</v>
      </c>
      <c r="H26" s="217">
        <f>+'CO2'!F26</f>
        <v>203580</v>
      </c>
      <c r="I26" s="217">
        <f>+'CO3'!F26</f>
        <v>250000</v>
      </c>
      <c r="J26" s="217">
        <f>+'CO4'!F26</f>
        <v>30000</v>
      </c>
      <c r="K26" s="217">
        <f t="shared" si="1"/>
        <v>160895</v>
      </c>
      <c r="L26" s="217">
        <f t="shared" si="2"/>
        <v>1287160</v>
      </c>
    </row>
    <row r="27" spans="1:13" x14ac:dyDescent="0.2">
      <c r="A27" s="152">
        <v>2.1</v>
      </c>
      <c r="B27" s="156" t="s">
        <v>71</v>
      </c>
      <c r="C27" s="154">
        <v>8</v>
      </c>
      <c r="D27" s="154" t="s">
        <v>145</v>
      </c>
      <c r="E27" s="181">
        <v>13200000</v>
      </c>
      <c r="F27" s="181">
        <f t="shared" si="0"/>
        <v>105600000</v>
      </c>
      <c r="G27" s="251">
        <f>+'C01_INICIAL'!F27</f>
        <v>13200000</v>
      </c>
      <c r="H27" s="251">
        <f>+'CO2'!F27</f>
        <v>15080000</v>
      </c>
      <c r="I27" s="251">
        <f>+'CO3'!F27</f>
        <v>17325000</v>
      </c>
      <c r="J27" s="217">
        <f>+'CO4'!F27</f>
        <v>950000</v>
      </c>
      <c r="K27" s="217">
        <f t="shared" si="1"/>
        <v>11638750</v>
      </c>
      <c r="L27" s="217">
        <f t="shared" si="2"/>
        <v>93110000</v>
      </c>
      <c r="M27" s="137" t="s">
        <v>242</v>
      </c>
    </row>
    <row r="28" spans="1:13" x14ac:dyDescent="0.2">
      <c r="A28" s="152">
        <v>2.1</v>
      </c>
      <c r="B28" s="156" t="s">
        <v>71</v>
      </c>
      <c r="C28" s="154">
        <v>8</v>
      </c>
      <c r="D28" s="154" t="s">
        <v>145</v>
      </c>
      <c r="E28" s="181">
        <v>13200000</v>
      </c>
      <c r="F28" s="181">
        <f t="shared" si="0"/>
        <v>105600000</v>
      </c>
      <c r="G28" s="251">
        <f>+'C01_INICIAL'!F28</f>
        <v>13200000</v>
      </c>
      <c r="H28" s="251">
        <f>+'CO2'!F28</f>
        <v>15080000</v>
      </c>
      <c r="I28" s="251">
        <f>+'CO3'!F28</f>
        <v>17325000</v>
      </c>
      <c r="J28" s="217">
        <f>+'CO4'!F28</f>
        <v>950000</v>
      </c>
      <c r="K28" s="217">
        <f t="shared" si="1"/>
        <v>11638750</v>
      </c>
      <c r="L28" s="217">
        <f t="shared" si="2"/>
        <v>93110000</v>
      </c>
      <c r="M28" s="137" t="s">
        <v>242</v>
      </c>
    </row>
    <row r="29" spans="1:13" x14ac:dyDescent="0.2">
      <c r="A29" s="152">
        <v>2.1</v>
      </c>
      <c r="B29" s="157" t="s">
        <v>73</v>
      </c>
      <c r="C29" s="151">
        <v>8</v>
      </c>
      <c r="D29" s="151" t="s">
        <v>75</v>
      </c>
      <c r="E29" s="181">
        <v>700000</v>
      </c>
      <c r="F29" s="181">
        <f t="shared" si="0"/>
        <v>5600000</v>
      </c>
      <c r="G29" s="217">
        <f>+'C01_INICIAL'!F29</f>
        <v>700000</v>
      </c>
      <c r="H29" s="217">
        <f>+'CO2'!F29</f>
        <v>712530</v>
      </c>
      <c r="I29" s="217">
        <f>+'CO3'!F29</f>
        <v>535500</v>
      </c>
      <c r="J29" s="217">
        <f>+'CO4'!F29</f>
        <v>105000</v>
      </c>
      <c r="K29" s="217">
        <f t="shared" si="1"/>
        <v>513257.5</v>
      </c>
      <c r="L29" s="217">
        <f t="shared" si="2"/>
        <v>4106060</v>
      </c>
    </row>
    <row r="30" spans="1:13" x14ac:dyDescent="0.2">
      <c r="A30" s="143"/>
      <c r="B30" s="142" t="s">
        <v>177</v>
      </c>
      <c r="C30" s="144"/>
      <c r="D30" s="142"/>
      <c r="E30" s="180"/>
      <c r="F30" s="180"/>
      <c r="G30" s="217">
        <f>+'C01_INICIAL'!F30</f>
        <v>0</v>
      </c>
      <c r="H30" s="217">
        <f>+'CO2'!F30</f>
        <v>0</v>
      </c>
      <c r="I30" s="217">
        <f>+'CO3'!F30</f>
        <v>0</v>
      </c>
      <c r="J30" s="217">
        <f>+'CO4'!F30</f>
        <v>0</v>
      </c>
      <c r="K30" s="217">
        <f t="shared" si="1"/>
        <v>0</v>
      </c>
      <c r="L30" s="217">
        <f t="shared" si="2"/>
        <v>0</v>
      </c>
    </row>
    <row r="31" spans="1:13" x14ac:dyDescent="0.2">
      <c r="A31" s="158">
        <v>1</v>
      </c>
      <c r="B31" s="156" t="s">
        <v>78</v>
      </c>
      <c r="C31" s="151">
        <v>1</v>
      </c>
      <c r="D31" s="159" t="s">
        <v>77</v>
      </c>
      <c r="E31" s="181">
        <v>650000</v>
      </c>
      <c r="F31" s="181">
        <f t="shared" ref="F31:F56" si="3">+E31*C31</f>
        <v>650000</v>
      </c>
      <c r="G31" s="217">
        <f>+'C01_INICIAL'!F31</f>
        <v>650000</v>
      </c>
      <c r="H31" s="217">
        <f>+'CO2'!F31</f>
        <v>1000000</v>
      </c>
      <c r="I31" s="217">
        <f>+'CO3'!F31</f>
        <v>796700</v>
      </c>
      <c r="J31" s="217">
        <f>+'CO4'!F31</f>
        <v>65650</v>
      </c>
      <c r="K31" s="217">
        <f t="shared" si="1"/>
        <v>628087.5</v>
      </c>
      <c r="L31" s="217">
        <f t="shared" si="2"/>
        <v>628087.5</v>
      </c>
    </row>
    <row r="32" spans="1:13" x14ac:dyDescent="0.2">
      <c r="A32" s="158">
        <f t="shared" ref="A32:A67" si="4">+A31+1</f>
        <v>2</v>
      </c>
      <c r="B32" s="156" t="s">
        <v>79</v>
      </c>
      <c r="C32" s="160">
        <v>30000</v>
      </c>
      <c r="D32" s="159" t="s">
        <v>77</v>
      </c>
      <c r="E32" s="181">
        <v>1300</v>
      </c>
      <c r="F32" s="181">
        <f t="shared" si="3"/>
        <v>39000000</v>
      </c>
      <c r="G32" s="217">
        <f>+'C01_INICIAL'!F32</f>
        <v>1300</v>
      </c>
      <c r="H32" s="217">
        <f>+'CO2'!F32</f>
        <v>500</v>
      </c>
      <c r="I32" s="217">
        <f>+'CO3'!F32</f>
        <v>134.6</v>
      </c>
      <c r="J32" s="217">
        <f>+'CO4'!F32</f>
        <v>137</v>
      </c>
      <c r="K32" s="217">
        <f t="shared" si="1"/>
        <v>517.9</v>
      </c>
      <c r="L32" s="217">
        <f t="shared" si="2"/>
        <v>15537000</v>
      </c>
    </row>
    <row r="33" spans="1:12" x14ac:dyDescent="0.2">
      <c r="A33" s="158">
        <f t="shared" si="4"/>
        <v>3</v>
      </c>
      <c r="B33" s="156" t="s">
        <v>80</v>
      </c>
      <c r="C33" s="151">
        <v>1</v>
      </c>
      <c r="D33" s="159" t="s">
        <v>77</v>
      </c>
      <c r="E33" s="181">
        <v>2100000</v>
      </c>
      <c r="F33" s="181">
        <f t="shared" si="3"/>
        <v>2100000</v>
      </c>
      <c r="G33" s="217">
        <f>+'C01_INICIAL'!F33</f>
        <v>2100000</v>
      </c>
      <c r="H33" s="217">
        <f>+'CO2'!F33</f>
        <v>3137041.7812455939</v>
      </c>
      <c r="I33" s="217">
        <f>+'CO3'!F33</f>
        <v>1849483</v>
      </c>
      <c r="J33" s="217">
        <f>+'CO4'!F33</f>
        <v>814000</v>
      </c>
      <c r="K33" s="217">
        <f t="shared" si="1"/>
        <v>1975131.1953113985</v>
      </c>
      <c r="L33" s="217">
        <f t="shared" si="2"/>
        <v>1975131.1953113985</v>
      </c>
    </row>
    <row r="34" spans="1:12" x14ac:dyDescent="0.2">
      <c r="A34" s="158">
        <f t="shared" si="4"/>
        <v>4</v>
      </c>
      <c r="B34" s="156" t="s">
        <v>81</v>
      </c>
      <c r="C34" s="151">
        <v>2</v>
      </c>
      <c r="D34" s="159" t="s">
        <v>77</v>
      </c>
      <c r="E34" s="181">
        <v>1500000</v>
      </c>
      <c r="F34" s="181">
        <f t="shared" si="3"/>
        <v>3000000</v>
      </c>
      <c r="G34" s="217">
        <f>+'C01_INICIAL'!F34</f>
        <v>1500000</v>
      </c>
      <c r="H34" s="217">
        <f>+'CO2'!F34</f>
        <v>2100080.58801674</v>
      </c>
      <c r="I34" s="217">
        <f>+'CO3'!F34</f>
        <v>1223504</v>
      </c>
      <c r="J34" s="217">
        <f>+'CO4'!F34</f>
        <v>570500</v>
      </c>
      <c r="K34" s="217">
        <f t="shared" si="1"/>
        <v>1348521.147004185</v>
      </c>
      <c r="L34" s="217">
        <f t="shared" si="2"/>
        <v>2697042.29400837</v>
      </c>
    </row>
    <row r="35" spans="1:12" x14ac:dyDescent="0.2">
      <c r="A35" s="158">
        <f t="shared" si="4"/>
        <v>5</v>
      </c>
      <c r="B35" s="156" t="s">
        <v>82</v>
      </c>
      <c r="C35" s="151">
        <v>4</v>
      </c>
      <c r="D35" s="159" t="s">
        <v>77</v>
      </c>
      <c r="E35" s="181">
        <v>1400000</v>
      </c>
      <c r="F35" s="181">
        <f t="shared" si="3"/>
        <v>5600000</v>
      </c>
      <c r="G35" s="217">
        <f>+'C01_INICIAL'!F35</f>
        <v>1400000</v>
      </c>
      <c r="H35" s="217">
        <f>+'CO2'!F35</f>
        <v>1431026.5575122754</v>
      </c>
      <c r="I35" s="217">
        <f>+'CO3'!F35</f>
        <v>910514</v>
      </c>
      <c r="J35" s="217">
        <f>+'CO4'!F35</f>
        <v>360000</v>
      </c>
      <c r="K35" s="217">
        <f t="shared" si="1"/>
        <v>1025385.1393780689</v>
      </c>
      <c r="L35" s="217">
        <f t="shared" si="2"/>
        <v>4101540.5575122754</v>
      </c>
    </row>
    <row r="36" spans="1:12" x14ac:dyDescent="0.2">
      <c r="A36" s="158">
        <f t="shared" si="4"/>
        <v>6</v>
      </c>
      <c r="B36" s="156" t="s">
        <v>137</v>
      </c>
      <c r="C36" s="151">
        <v>4</v>
      </c>
      <c r="D36" s="159" t="s">
        <v>77</v>
      </c>
      <c r="E36" s="181">
        <v>600000</v>
      </c>
      <c r="F36" s="181">
        <f t="shared" si="3"/>
        <v>2400000</v>
      </c>
      <c r="G36" s="217">
        <f>+'C01_INICIAL'!F36</f>
        <v>600000</v>
      </c>
      <c r="H36" s="217">
        <f>+'CO2'!F36</f>
        <v>1805271.6337556478</v>
      </c>
      <c r="I36" s="217">
        <f>+'CO3'!F36</f>
        <v>1327835</v>
      </c>
      <c r="J36" s="217">
        <f>+'CO4'!F36</f>
        <v>328900</v>
      </c>
      <c r="K36" s="217">
        <f t="shared" si="1"/>
        <v>1015501.6584389119</v>
      </c>
      <c r="L36" s="217">
        <f t="shared" si="2"/>
        <v>4062006.6337556476</v>
      </c>
    </row>
    <row r="37" spans="1:12" x14ac:dyDescent="0.2">
      <c r="A37" s="158">
        <f t="shared" si="4"/>
        <v>7</v>
      </c>
      <c r="B37" s="156" t="s">
        <v>138</v>
      </c>
      <c r="C37" s="160">
        <v>40000</v>
      </c>
      <c r="D37" s="159" t="s">
        <v>77</v>
      </c>
      <c r="E37" s="184">
        <v>310</v>
      </c>
      <c r="F37" s="181">
        <f t="shared" si="3"/>
        <v>12400000</v>
      </c>
      <c r="G37" s="217">
        <f>+'C01_INICIAL'!F37</f>
        <v>310</v>
      </c>
      <c r="H37" s="217">
        <f>+'CO2'!F37</f>
        <v>500</v>
      </c>
      <c r="I37" s="217">
        <f>+'CO3'!F37</f>
        <v>169.36</v>
      </c>
      <c r="J37" s="217">
        <f>+'CO4'!F37</f>
        <v>218</v>
      </c>
      <c r="K37" s="217">
        <f t="shared" si="1"/>
        <v>299.34000000000003</v>
      </c>
      <c r="L37" s="217">
        <f t="shared" si="2"/>
        <v>11973600.000000002</v>
      </c>
    </row>
    <row r="38" spans="1:12" x14ac:dyDescent="0.2">
      <c r="A38" s="158">
        <f t="shared" si="4"/>
        <v>8</v>
      </c>
      <c r="B38" s="156" t="s">
        <v>139</v>
      </c>
      <c r="C38" s="151">
        <v>2</v>
      </c>
      <c r="D38" s="159" t="s">
        <v>77</v>
      </c>
      <c r="E38" s="181">
        <v>900000</v>
      </c>
      <c r="F38" s="181">
        <f t="shared" si="3"/>
        <v>1800000</v>
      </c>
      <c r="G38" s="217">
        <f>+'C01_INICIAL'!F38</f>
        <v>900000</v>
      </c>
      <c r="H38" s="217">
        <f>+'CO2'!F38</f>
        <v>2692549.5890610791</v>
      </c>
      <c r="I38" s="217">
        <f>+'CO3'!F38</f>
        <v>1991753</v>
      </c>
      <c r="J38" s="217">
        <f>+'CO4'!F38</f>
        <v>575900</v>
      </c>
      <c r="K38" s="217">
        <f t="shared" si="1"/>
        <v>1540050.6472652699</v>
      </c>
      <c r="L38" s="217">
        <f t="shared" si="2"/>
        <v>3080101.2945305398</v>
      </c>
    </row>
    <row r="39" spans="1:12" x14ac:dyDescent="0.2">
      <c r="A39" s="158">
        <f t="shared" si="4"/>
        <v>9</v>
      </c>
      <c r="B39" s="156" t="s">
        <v>140</v>
      </c>
      <c r="C39" s="160">
        <v>20000</v>
      </c>
      <c r="D39" s="159" t="s">
        <v>77</v>
      </c>
      <c r="E39" s="184">
        <v>360</v>
      </c>
      <c r="F39" s="181">
        <f t="shared" si="3"/>
        <v>7200000</v>
      </c>
      <c r="G39" s="217">
        <f>+'C01_INICIAL'!F39</f>
        <v>360</v>
      </c>
      <c r="H39" s="217">
        <f>+'CO2'!F39</f>
        <v>416</v>
      </c>
      <c r="I39" s="217">
        <f>+'CO3'!F39</f>
        <v>563.76</v>
      </c>
      <c r="J39" s="217">
        <f>+'CO4'!F39</f>
        <v>267</v>
      </c>
      <c r="K39" s="217">
        <f t="shared" si="1"/>
        <v>401.69</v>
      </c>
      <c r="L39" s="217">
        <f t="shared" si="2"/>
        <v>8033800</v>
      </c>
    </row>
    <row r="40" spans="1:12" x14ac:dyDescent="0.2">
      <c r="A40" s="158">
        <f t="shared" si="4"/>
        <v>10</v>
      </c>
      <c r="B40" s="156" t="s">
        <v>141</v>
      </c>
      <c r="C40" s="151">
        <v>2</v>
      </c>
      <c r="D40" s="159" t="s">
        <v>77</v>
      </c>
      <c r="E40" s="181">
        <v>1200000</v>
      </c>
      <c r="F40" s="181">
        <f t="shared" si="3"/>
        <v>2400000</v>
      </c>
      <c r="G40" s="217">
        <f>+'C01_INICIAL'!F40</f>
        <v>1200000</v>
      </c>
      <c r="H40" s="217">
        <f>+'CO2'!F40</f>
        <v>3197182.3993580537</v>
      </c>
      <c r="I40" s="217">
        <f>+'CO3'!F40</f>
        <v>2655671</v>
      </c>
      <c r="J40" s="217">
        <f>+'CO4'!F40</f>
        <v>850000</v>
      </c>
      <c r="K40" s="217">
        <f t="shared" si="1"/>
        <v>1975713.3498395134</v>
      </c>
      <c r="L40" s="217">
        <f t="shared" si="2"/>
        <v>3951426.6996790268</v>
      </c>
    </row>
    <row r="41" spans="1:12" x14ac:dyDescent="0.2">
      <c r="A41" s="158">
        <f t="shared" si="4"/>
        <v>11</v>
      </c>
      <c r="B41" s="156" t="s">
        <v>142</v>
      </c>
      <c r="C41" s="160">
        <v>20000</v>
      </c>
      <c r="D41" s="159" t="s">
        <v>77</v>
      </c>
      <c r="E41" s="184">
        <v>360</v>
      </c>
      <c r="F41" s="181">
        <f t="shared" si="3"/>
        <v>7200000</v>
      </c>
      <c r="G41" s="217">
        <f>+'C01_INICIAL'!F41</f>
        <v>360</v>
      </c>
      <c r="H41" s="217">
        <f>+'CO2'!F41</f>
        <v>455</v>
      </c>
      <c r="I41" s="217">
        <f>+'CO3'!F41</f>
        <v>350.32</v>
      </c>
      <c r="J41" s="217">
        <f>+'CO4'!F41</f>
        <v>270</v>
      </c>
      <c r="K41" s="217">
        <f t="shared" si="1"/>
        <v>358.83</v>
      </c>
      <c r="L41" s="217">
        <f t="shared" si="2"/>
        <v>7176600</v>
      </c>
    </row>
    <row r="42" spans="1:12" x14ac:dyDescent="0.2">
      <c r="A42" s="158">
        <f t="shared" si="4"/>
        <v>12</v>
      </c>
      <c r="B42" s="156" t="s">
        <v>133</v>
      </c>
      <c r="C42" s="160">
        <v>5000</v>
      </c>
      <c r="D42" s="159" t="s">
        <v>77</v>
      </c>
      <c r="E42" s="181">
        <v>3500</v>
      </c>
      <c r="F42" s="181">
        <f t="shared" si="3"/>
        <v>17500000</v>
      </c>
      <c r="G42" s="217">
        <f>+'C01_INICIAL'!F42</f>
        <v>3500</v>
      </c>
      <c r="H42" s="217">
        <f>+'CO2'!F42</f>
        <v>2340</v>
      </c>
      <c r="I42" s="217">
        <f>+'CO3'!F42</f>
        <v>1102</v>
      </c>
      <c r="J42" s="217">
        <f>+'CO4'!F42</f>
        <v>1160</v>
      </c>
      <c r="K42" s="217">
        <f t="shared" si="1"/>
        <v>2025.5</v>
      </c>
      <c r="L42" s="217">
        <f t="shared" si="2"/>
        <v>10127500</v>
      </c>
    </row>
    <row r="43" spans="1:12" ht="25.5" x14ac:dyDescent="0.2">
      <c r="A43" s="158">
        <f t="shared" si="4"/>
        <v>13</v>
      </c>
      <c r="B43" s="156" t="s">
        <v>188</v>
      </c>
      <c r="C43" s="160">
        <v>1</v>
      </c>
      <c r="D43" s="159" t="s">
        <v>77</v>
      </c>
      <c r="E43" s="181">
        <v>1800</v>
      </c>
      <c r="F43" s="181">
        <f t="shared" si="3"/>
        <v>1800</v>
      </c>
      <c r="G43" s="217">
        <f>+'C01_INICIAL'!F43</f>
        <v>1800</v>
      </c>
      <c r="H43" s="217">
        <f>+'CO2'!F43</f>
        <v>1950</v>
      </c>
      <c r="I43" s="252">
        <f>+'CO3'!F43</f>
        <v>643886</v>
      </c>
      <c r="J43" s="217">
        <f>+'CO4'!F43</f>
        <v>147500</v>
      </c>
      <c r="K43" s="217">
        <f t="shared" si="1"/>
        <v>198784</v>
      </c>
      <c r="L43" s="217">
        <f t="shared" si="2"/>
        <v>198784</v>
      </c>
    </row>
    <row r="44" spans="1:12" x14ac:dyDescent="0.2">
      <c r="A44" s="158">
        <f t="shared" si="4"/>
        <v>14</v>
      </c>
      <c r="B44" s="156" t="s">
        <v>124</v>
      </c>
      <c r="C44" s="160">
        <v>1</v>
      </c>
      <c r="D44" s="159" t="s">
        <v>77</v>
      </c>
      <c r="E44" s="181">
        <v>800000</v>
      </c>
      <c r="F44" s="181">
        <f t="shared" si="3"/>
        <v>800000</v>
      </c>
      <c r="G44" s="217">
        <f>+'C01_INICIAL'!F44</f>
        <v>800000</v>
      </c>
      <c r="H44" s="251">
        <f>+'CO2'!F44</f>
        <v>2044326.6724816032</v>
      </c>
      <c r="I44" s="217">
        <f>+'CO3'!F44</f>
        <v>368000</v>
      </c>
      <c r="J44" s="217">
        <f>+'CO4'!F44</f>
        <v>226900</v>
      </c>
      <c r="K44" s="217">
        <f t="shared" si="1"/>
        <v>859806.66812040075</v>
      </c>
      <c r="L44" s="217">
        <f t="shared" ref="L44:L75" si="5">+K44*C44</f>
        <v>859806.66812040075</v>
      </c>
    </row>
    <row r="45" spans="1:12" x14ac:dyDescent="0.2">
      <c r="A45" s="158">
        <f t="shared" si="4"/>
        <v>15</v>
      </c>
      <c r="B45" s="161" t="s">
        <v>125</v>
      </c>
      <c r="C45" s="160">
        <v>5000</v>
      </c>
      <c r="D45" s="159" t="s">
        <v>77</v>
      </c>
      <c r="E45" s="181">
        <v>5400</v>
      </c>
      <c r="F45" s="181">
        <f t="shared" si="3"/>
        <v>27000000</v>
      </c>
      <c r="G45" s="217">
        <f>+'C01_INICIAL'!F45</f>
        <v>5400</v>
      </c>
      <c r="H45" s="217">
        <f>+'CO2'!F45</f>
        <v>6500</v>
      </c>
      <c r="I45" s="217">
        <f>+'CO3'!F45</f>
        <v>13200</v>
      </c>
      <c r="J45" s="217">
        <f>+'CO4'!F45</f>
        <v>12700</v>
      </c>
      <c r="K45" s="217">
        <f t="shared" si="1"/>
        <v>9450</v>
      </c>
      <c r="L45" s="217">
        <f t="shared" si="5"/>
        <v>47250000</v>
      </c>
    </row>
    <row r="46" spans="1:12" x14ac:dyDescent="0.2">
      <c r="A46" s="158">
        <f t="shared" si="4"/>
        <v>16</v>
      </c>
      <c r="B46" s="161" t="s">
        <v>126</v>
      </c>
      <c r="C46" s="151">
        <v>1</v>
      </c>
      <c r="D46" s="159" t="s">
        <v>77</v>
      </c>
      <c r="E46" s="181">
        <v>775000</v>
      </c>
      <c r="F46" s="181">
        <f t="shared" si="3"/>
        <v>775000</v>
      </c>
      <c r="G46" s="217">
        <f>+'C01_INICIAL'!F46</f>
        <v>775000</v>
      </c>
      <c r="H46" s="217">
        <f>+'CO2'!F46</f>
        <v>895167.3280659311</v>
      </c>
      <c r="I46" s="217">
        <f>+'CO3'!F46</f>
        <v>5121648</v>
      </c>
      <c r="J46" s="217">
        <f>+'CO4'!F46</f>
        <v>415090</v>
      </c>
      <c r="K46" s="217">
        <f t="shared" si="1"/>
        <v>1801726.3320164827</v>
      </c>
      <c r="L46" s="217">
        <f t="shared" si="5"/>
        <v>1801726.3320164827</v>
      </c>
    </row>
    <row r="47" spans="1:12" x14ac:dyDescent="0.2">
      <c r="A47" s="158">
        <f t="shared" si="4"/>
        <v>17</v>
      </c>
      <c r="B47" s="161" t="s">
        <v>134</v>
      </c>
      <c r="C47" s="160">
        <v>5000</v>
      </c>
      <c r="D47" s="159" t="s">
        <v>77</v>
      </c>
      <c r="E47" s="181">
        <v>4000</v>
      </c>
      <c r="F47" s="181">
        <f t="shared" si="3"/>
        <v>20000000</v>
      </c>
      <c r="G47" s="217">
        <f>+'C01_INICIAL'!F47</f>
        <v>4000</v>
      </c>
      <c r="H47" s="217">
        <f>+'CO2'!F47</f>
        <v>234</v>
      </c>
      <c r="I47" s="217">
        <f>+'CO3'!F47</f>
        <v>2062.5</v>
      </c>
      <c r="J47" s="217">
        <f>+'CO4'!F47</f>
        <v>11050</v>
      </c>
      <c r="K47" s="217">
        <f t="shared" si="1"/>
        <v>4336.625</v>
      </c>
      <c r="L47" s="217">
        <f t="shared" si="5"/>
        <v>21683125</v>
      </c>
    </row>
    <row r="48" spans="1:12" x14ac:dyDescent="0.2">
      <c r="A48" s="158">
        <f t="shared" si="4"/>
        <v>18</v>
      </c>
      <c r="B48" s="156" t="s">
        <v>83</v>
      </c>
      <c r="C48" s="151">
        <v>5</v>
      </c>
      <c r="D48" s="159" t="s">
        <v>77</v>
      </c>
      <c r="E48" s="181">
        <v>650000</v>
      </c>
      <c r="F48" s="181">
        <f t="shared" si="3"/>
        <v>3250000</v>
      </c>
      <c r="G48" s="217">
        <f>+'C01_INICIAL'!F48</f>
        <v>650000</v>
      </c>
      <c r="H48" s="251">
        <f>+'CO2'!F48</f>
        <v>1198615.8499080529</v>
      </c>
      <c r="I48" s="217">
        <f>+'CO3'!F48</f>
        <v>466639</v>
      </c>
      <c r="J48" s="217">
        <f>+'CO4'!F48</f>
        <v>355000</v>
      </c>
      <c r="K48" s="217">
        <f t="shared" si="1"/>
        <v>667563.71247701324</v>
      </c>
      <c r="L48" s="217">
        <f t="shared" si="5"/>
        <v>3337818.5623850664</v>
      </c>
    </row>
    <row r="49" spans="1:12" x14ac:dyDescent="0.2">
      <c r="A49" s="158">
        <f t="shared" si="4"/>
        <v>19</v>
      </c>
      <c r="B49" s="156" t="s">
        <v>135</v>
      </c>
      <c r="C49" s="148">
        <v>40</v>
      </c>
      <c r="D49" s="159" t="s">
        <v>77</v>
      </c>
      <c r="E49" s="181">
        <v>290000</v>
      </c>
      <c r="F49" s="181">
        <f t="shared" si="3"/>
        <v>11600000</v>
      </c>
      <c r="G49" s="217">
        <f>+'C01_INICIAL'!F49</f>
        <v>290000</v>
      </c>
      <c r="H49" s="217">
        <f>+'CO2'!F49</f>
        <v>261300</v>
      </c>
      <c r="I49" s="217">
        <f>+'CO3'!F49</f>
        <v>191400</v>
      </c>
      <c r="J49" s="217">
        <f>+'CO4'!F49</f>
        <v>252000</v>
      </c>
      <c r="K49" s="217">
        <f t="shared" si="1"/>
        <v>248675</v>
      </c>
      <c r="L49" s="217">
        <f t="shared" si="5"/>
        <v>9947000</v>
      </c>
    </row>
    <row r="50" spans="1:12" x14ac:dyDescent="0.2">
      <c r="A50" s="158">
        <f t="shared" si="4"/>
        <v>20</v>
      </c>
      <c r="B50" s="156" t="s">
        <v>84</v>
      </c>
      <c r="C50" s="151">
        <v>1</v>
      </c>
      <c r="D50" s="159" t="s">
        <v>77</v>
      </c>
      <c r="E50" s="181">
        <v>650000</v>
      </c>
      <c r="F50" s="181">
        <f t="shared" si="3"/>
        <v>650000</v>
      </c>
      <c r="G50" s="217">
        <f>+'C01_INICIAL'!F50</f>
        <v>650000</v>
      </c>
      <c r="H50" s="251">
        <f>+'CO2'!F50</f>
        <v>2720310.3194620861</v>
      </c>
      <c r="I50" s="217">
        <f>+'CO3'!F50</f>
        <v>466639</v>
      </c>
      <c r="J50" s="217">
        <f>+'CO4'!F50</f>
        <v>161995</v>
      </c>
      <c r="K50" s="217">
        <f t="shared" si="1"/>
        <v>999736.07986552152</v>
      </c>
      <c r="L50" s="217">
        <f t="shared" si="5"/>
        <v>999736.07986552152</v>
      </c>
    </row>
    <row r="51" spans="1:12" x14ac:dyDescent="0.2">
      <c r="A51" s="158">
        <f t="shared" si="4"/>
        <v>21</v>
      </c>
      <c r="B51" s="156" t="s">
        <v>85</v>
      </c>
      <c r="C51" s="151">
        <v>2</v>
      </c>
      <c r="D51" s="159" t="s">
        <v>77</v>
      </c>
      <c r="E51" s="181">
        <v>390000</v>
      </c>
      <c r="F51" s="181">
        <f t="shared" si="3"/>
        <v>780000</v>
      </c>
      <c r="G51" s="217">
        <f>+'C01_INICIAL'!F51</f>
        <v>390000</v>
      </c>
      <c r="H51" s="217">
        <f>+'CO2'!F51</f>
        <v>728000</v>
      </c>
      <c r="I51" s="217">
        <f>+'CO3'!F51</f>
        <v>425000</v>
      </c>
      <c r="J51" s="217">
        <f>+'CO4'!F51</f>
        <v>973000</v>
      </c>
      <c r="K51" s="217">
        <f t="shared" si="1"/>
        <v>629000</v>
      </c>
      <c r="L51" s="217">
        <f t="shared" si="5"/>
        <v>1258000</v>
      </c>
    </row>
    <row r="52" spans="1:12" x14ac:dyDescent="0.2">
      <c r="A52" s="158">
        <f t="shared" si="4"/>
        <v>22</v>
      </c>
      <c r="B52" s="156" t="s">
        <v>86</v>
      </c>
      <c r="C52" s="151">
        <v>1</v>
      </c>
      <c r="D52" s="159" t="s">
        <v>77</v>
      </c>
      <c r="E52" s="181">
        <v>730000</v>
      </c>
      <c r="F52" s="181">
        <f t="shared" si="3"/>
        <v>730000</v>
      </c>
      <c r="G52" s="217">
        <f>+'C01_INICIAL'!F52</f>
        <v>730000</v>
      </c>
      <c r="H52" s="251">
        <f>+'CO2'!F52</f>
        <v>2305292.3308249991</v>
      </c>
      <c r="I52" s="217">
        <f>+'CO3'!F52</f>
        <v>466639</v>
      </c>
      <c r="J52" s="217">
        <f>+'CO4'!F52</f>
        <v>511980</v>
      </c>
      <c r="K52" s="217">
        <f t="shared" si="1"/>
        <v>1003477.8327062498</v>
      </c>
      <c r="L52" s="217">
        <f t="shared" si="5"/>
        <v>1003477.8327062498</v>
      </c>
    </row>
    <row r="53" spans="1:12" x14ac:dyDescent="0.2">
      <c r="A53" s="158">
        <f t="shared" si="4"/>
        <v>23</v>
      </c>
      <c r="B53" s="156" t="s">
        <v>87</v>
      </c>
      <c r="C53" s="151">
        <v>1</v>
      </c>
      <c r="D53" s="159" t="s">
        <v>77</v>
      </c>
      <c r="E53" s="181">
        <v>280000</v>
      </c>
      <c r="F53" s="181">
        <f t="shared" si="3"/>
        <v>280000</v>
      </c>
      <c r="G53" s="217">
        <f>+'C01_INICIAL'!F53</f>
        <v>280000</v>
      </c>
      <c r="H53" s="217">
        <f>+'CO2'!F53</f>
        <v>624000</v>
      </c>
      <c r="I53" s="217">
        <f>+'CO3'!F53</f>
        <v>87000</v>
      </c>
      <c r="J53" s="217">
        <f>+'CO4'!F53</f>
        <v>1540000</v>
      </c>
      <c r="K53" s="217">
        <f t="shared" si="1"/>
        <v>632750</v>
      </c>
      <c r="L53" s="217">
        <f t="shared" si="5"/>
        <v>632750</v>
      </c>
    </row>
    <row r="54" spans="1:12" x14ac:dyDescent="0.2">
      <c r="A54" s="158">
        <f t="shared" si="4"/>
        <v>24</v>
      </c>
      <c r="B54" s="156" t="s">
        <v>88</v>
      </c>
      <c r="C54" s="151">
        <v>1</v>
      </c>
      <c r="D54" s="159" t="s">
        <v>77</v>
      </c>
      <c r="E54" s="181">
        <v>730000</v>
      </c>
      <c r="F54" s="181">
        <f t="shared" si="3"/>
        <v>730000</v>
      </c>
      <c r="G54" s="217">
        <f>+'C01_INICIAL'!F54</f>
        <v>730000</v>
      </c>
      <c r="H54" s="251">
        <f>+'CO2'!F54</f>
        <v>2305292.3308249991</v>
      </c>
      <c r="I54" s="217">
        <f>+'CO3'!F54</f>
        <v>466639</v>
      </c>
      <c r="J54" s="217">
        <f>+'CO4'!F54</f>
        <v>511980</v>
      </c>
      <c r="K54" s="217">
        <f t="shared" si="1"/>
        <v>1003477.8327062498</v>
      </c>
      <c r="L54" s="217">
        <f t="shared" si="5"/>
        <v>1003477.8327062498</v>
      </c>
    </row>
    <row r="55" spans="1:12" x14ac:dyDescent="0.2">
      <c r="A55" s="158">
        <f t="shared" si="4"/>
        <v>25</v>
      </c>
      <c r="B55" s="156" t="s">
        <v>89</v>
      </c>
      <c r="C55" s="151">
        <v>2</v>
      </c>
      <c r="D55" s="159" t="s">
        <v>77</v>
      </c>
      <c r="E55" s="181">
        <v>540000</v>
      </c>
      <c r="F55" s="181">
        <f t="shared" si="3"/>
        <v>1080000</v>
      </c>
      <c r="G55" s="217">
        <f>+'C01_INICIAL'!F55</f>
        <v>540000</v>
      </c>
      <c r="H55" s="217">
        <f>+'CO2'!F55</f>
        <v>874640</v>
      </c>
      <c r="I55" s="217">
        <f>+'CO3'!F55</f>
        <v>174000</v>
      </c>
      <c r="J55" s="217">
        <f>+'CO4'!F55</f>
        <v>1750000</v>
      </c>
      <c r="K55" s="217">
        <f t="shared" si="1"/>
        <v>834660</v>
      </c>
      <c r="L55" s="217">
        <f t="shared" si="5"/>
        <v>1669320</v>
      </c>
    </row>
    <row r="56" spans="1:12" x14ac:dyDescent="0.2">
      <c r="A56" s="158">
        <f>+A55+1</f>
        <v>26</v>
      </c>
      <c r="B56" s="156" t="s">
        <v>90</v>
      </c>
      <c r="C56" s="151">
        <v>1</v>
      </c>
      <c r="D56" s="159" t="s">
        <v>77</v>
      </c>
      <c r="E56" s="181">
        <v>790000</v>
      </c>
      <c r="F56" s="181">
        <f t="shared" si="3"/>
        <v>790000</v>
      </c>
      <c r="G56" s="217">
        <f>+'C01_INICIAL'!F56</f>
        <v>790000</v>
      </c>
      <c r="H56" s="251">
        <f>+'CO2'!F56</f>
        <v>2305292.3308249991</v>
      </c>
      <c r="I56" s="217">
        <f>+'CO3'!F56</f>
        <v>1079340</v>
      </c>
      <c r="J56" s="217">
        <f>+'CO4'!F56</f>
        <v>675780</v>
      </c>
      <c r="K56" s="217">
        <f t="shared" si="1"/>
        <v>1212603.0827062498</v>
      </c>
      <c r="L56" s="217">
        <f t="shared" si="5"/>
        <v>1212603.0827062498</v>
      </c>
    </row>
    <row r="57" spans="1:12" x14ac:dyDescent="0.2">
      <c r="A57" s="158">
        <f t="shared" si="4"/>
        <v>27</v>
      </c>
      <c r="B57" s="156" t="s">
        <v>91</v>
      </c>
      <c r="C57" s="151">
        <v>2</v>
      </c>
      <c r="D57" s="159" t="s">
        <v>77</v>
      </c>
      <c r="E57" s="181" t="s">
        <v>190</v>
      </c>
      <c r="F57" s="181" t="s">
        <v>190</v>
      </c>
      <c r="G57" s="217" t="str">
        <f>+'C01_INICIAL'!F57</f>
        <v>N/A</v>
      </c>
      <c r="H57" s="217">
        <f>+'CO2'!F57</f>
        <v>1216800</v>
      </c>
      <c r="I57" s="217">
        <f>+'CO3'!F57</f>
        <v>261000</v>
      </c>
      <c r="J57" s="217">
        <f>+'CO4'!F57</f>
        <v>2380000</v>
      </c>
      <c r="K57" s="217">
        <f t="shared" si="1"/>
        <v>1285933.3333333333</v>
      </c>
      <c r="L57" s="217">
        <f t="shared" si="5"/>
        <v>2571866.6666666665</v>
      </c>
    </row>
    <row r="58" spans="1:12" x14ac:dyDescent="0.2">
      <c r="A58" s="158">
        <f t="shared" si="4"/>
        <v>28</v>
      </c>
      <c r="B58" s="156" t="s">
        <v>92</v>
      </c>
      <c r="C58" s="151">
        <v>1</v>
      </c>
      <c r="D58" s="159" t="s">
        <v>77</v>
      </c>
      <c r="E58" s="181">
        <v>920000</v>
      </c>
      <c r="F58" s="181">
        <f>+E58*C58</f>
        <v>920000</v>
      </c>
      <c r="G58" s="217">
        <f>+'C01_INICIAL'!F58</f>
        <v>920000</v>
      </c>
      <c r="H58" s="251">
        <f>+'CO2'!F58</f>
        <v>2305292.3308249991</v>
      </c>
      <c r="I58" s="217">
        <f>+'CO3'!F58</f>
        <v>1079340</v>
      </c>
      <c r="J58" s="217">
        <f>+'CO4'!F58</f>
        <v>675780</v>
      </c>
      <c r="K58" s="217">
        <f t="shared" si="1"/>
        <v>1245103.0827062498</v>
      </c>
      <c r="L58" s="217">
        <f t="shared" si="5"/>
        <v>1245103.0827062498</v>
      </c>
    </row>
    <row r="59" spans="1:12" x14ac:dyDescent="0.2">
      <c r="A59" s="158">
        <f t="shared" si="4"/>
        <v>29</v>
      </c>
      <c r="B59" s="156" t="s">
        <v>93</v>
      </c>
      <c r="C59" s="151">
        <v>1</v>
      </c>
      <c r="D59" s="159" t="s">
        <v>77</v>
      </c>
      <c r="E59" s="181" t="s">
        <v>190</v>
      </c>
      <c r="F59" s="181" t="s">
        <v>190</v>
      </c>
      <c r="G59" s="217" t="str">
        <f>+'C01_INICIAL'!F59</f>
        <v>N/A</v>
      </c>
      <c r="H59" s="217">
        <f>+'CO2'!F59</f>
        <v>874640</v>
      </c>
      <c r="I59" s="217">
        <f>+'CO3'!F59</f>
        <v>174000</v>
      </c>
      <c r="J59" s="217">
        <f>+'CO4'!F59</f>
        <v>4480000</v>
      </c>
      <c r="K59" s="217">
        <f t="shared" si="1"/>
        <v>1842880</v>
      </c>
      <c r="L59" s="217">
        <f t="shared" si="5"/>
        <v>1842880</v>
      </c>
    </row>
    <row r="60" spans="1:12" x14ac:dyDescent="0.2">
      <c r="A60" s="158">
        <f t="shared" si="4"/>
        <v>30</v>
      </c>
      <c r="B60" s="156" t="s">
        <v>94</v>
      </c>
      <c r="C60" s="151">
        <v>1</v>
      </c>
      <c r="D60" s="159" t="s">
        <v>77</v>
      </c>
      <c r="E60" s="181">
        <v>920000</v>
      </c>
      <c r="F60" s="181">
        <f>+E60*C60</f>
        <v>920000</v>
      </c>
      <c r="G60" s="217">
        <f>+'C01_INICIAL'!F60</f>
        <v>920000</v>
      </c>
      <c r="H60" s="251">
        <f>+'CO2'!F60</f>
        <v>2305292.3308249991</v>
      </c>
      <c r="I60" s="217">
        <f>+'CO3'!F60</f>
        <v>1079340</v>
      </c>
      <c r="J60" s="217">
        <f>+'CO4'!F60</f>
        <v>675780</v>
      </c>
      <c r="K60" s="217">
        <f t="shared" si="1"/>
        <v>1245103.0827062498</v>
      </c>
      <c r="L60" s="217">
        <f t="shared" si="5"/>
        <v>1245103.0827062498</v>
      </c>
    </row>
    <row r="61" spans="1:12" x14ac:dyDescent="0.2">
      <c r="A61" s="158">
        <f t="shared" si="4"/>
        <v>31</v>
      </c>
      <c r="B61" s="156" t="s">
        <v>95</v>
      </c>
      <c r="C61" s="151">
        <v>1</v>
      </c>
      <c r="D61" s="159" t="s">
        <v>77</v>
      </c>
      <c r="E61" s="181" t="s">
        <v>190</v>
      </c>
      <c r="F61" s="181" t="s">
        <v>190</v>
      </c>
      <c r="G61" s="217" t="str">
        <f>+'C01_INICIAL'!F61</f>
        <v>N/A</v>
      </c>
      <c r="H61" s="251">
        <f>+'CO2'!F61</f>
        <v>2730000</v>
      </c>
      <c r="I61" s="217">
        <f>+'CO3'!F61</f>
        <v>522000</v>
      </c>
      <c r="J61" s="217">
        <f>+'CO4'!F61</f>
        <v>4760000</v>
      </c>
      <c r="K61" s="217">
        <f t="shared" si="1"/>
        <v>2670666.6666666665</v>
      </c>
      <c r="L61" s="217">
        <f t="shared" si="5"/>
        <v>2670666.6666666665</v>
      </c>
    </row>
    <row r="62" spans="1:12" hidden="1" x14ac:dyDescent="0.2">
      <c r="A62" s="158">
        <f t="shared" si="4"/>
        <v>32</v>
      </c>
      <c r="B62" s="156" t="s">
        <v>96</v>
      </c>
      <c r="C62" s="151">
        <v>1</v>
      </c>
      <c r="D62" s="159" t="s">
        <v>77</v>
      </c>
      <c r="E62" s="181"/>
      <c r="F62" s="181">
        <f t="shared" ref="F62:F67" si="6">+E62*C62</f>
        <v>0</v>
      </c>
      <c r="G62" s="217">
        <f>+'C01_INICIAL'!F62</f>
        <v>0</v>
      </c>
      <c r="H62" s="217">
        <f>+'CO2'!F62</f>
        <v>263900</v>
      </c>
      <c r="I62" s="217">
        <f>+'CO3'!F62</f>
        <v>0</v>
      </c>
      <c r="J62" s="217">
        <f>+'CO4'!F62</f>
        <v>0</v>
      </c>
      <c r="K62" s="217">
        <f t="shared" si="1"/>
        <v>65975</v>
      </c>
      <c r="L62" s="217">
        <f t="shared" si="5"/>
        <v>65975</v>
      </c>
    </row>
    <row r="63" spans="1:12" hidden="1" x14ac:dyDescent="0.2">
      <c r="A63" s="158">
        <f t="shared" si="4"/>
        <v>33</v>
      </c>
      <c r="B63" s="156" t="s">
        <v>97</v>
      </c>
      <c r="C63" s="151">
        <v>1</v>
      </c>
      <c r="D63" s="159" t="s">
        <v>77</v>
      </c>
      <c r="E63" s="181"/>
      <c r="F63" s="181">
        <f t="shared" si="6"/>
        <v>0</v>
      </c>
      <c r="G63" s="217">
        <f>+'C01_INICIAL'!F63</f>
        <v>0</v>
      </c>
      <c r="H63" s="217">
        <f>+'CO2'!F63</f>
        <v>455000</v>
      </c>
      <c r="I63" s="217">
        <f>+'CO3'!F63</f>
        <v>0</v>
      </c>
      <c r="J63" s="217">
        <f>+'CO4'!F63</f>
        <v>0</v>
      </c>
      <c r="K63" s="217">
        <f t="shared" si="1"/>
        <v>113750</v>
      </c>
      <c r="L63" s="217">
        <f t="shared" si="5"/>
        <v>113750</v>
      </c>
    </row>
    <row r="64" spans="1:12" hidden="1" x14ac:dyDescent="0.2">
      <c r="A64" s="158">
        <f t="shared" si="4"/>
        <v>34</v>
      </c>
      <c r="B64" s="156" t="s">
        <v>98</v>
      </c>
      <c r="C64" s="151">
        <v>1</v>
      </c>
      <c r="D64" s="159" t="s">
        <v>77</v>
      </c>
      <c r="E64" s="181"/>
      <c r="F64" s="181">
        <f t="shared" si="6"/>
        <v>0</v>
      </c>
      <c r="G64" s="217">
        <f>+'C01_INICIAL'!F64</f>
        <v>0</v>
      </c>
      <c r="H64" s="217">
        <f>+'CO2'!F64</f>
        <v>728000</v>
      </c>
      <c r="I64" s="217">
        <f>+'CO3'!F64</f>
        <v>0</v>
      </c>
      <c r="J64" s="217">
        <f>+'CO4'!F64</f>
        <v>0</v>
      </c>
      <c r="K64" s="217">
        <f t="shared" si="1"/>
        <v>182000</v>
      </c>
      <c r="L64" s="217">
        <f t="shared" si="5"/>
        <v>182000</v>
      </c>
    </row>
    <row r="65" spans="1:12" hidden="1" x14ac:dyDescent="0.2">
      <c r="A65" s="158">
        <f t="shared" si="4"/>
        <v>35</v>
      </c>
      <c r="B65" s="156" t="s">
        <v>99</v>
      </c>
      <c r="C65" s="151">
        <v>1</v>
      </c>
      <c r="D65" s="159" t="s">
        <v>77</v>
      </c>
      <c r="E65" s="181"/>
      <c r="F65" s="181">
        <f t="shared" si="6"/>
        <v>0</v>
      </c>
      <c r="G65" s="217">
        <f>+'C01_INICIAL'!F65</f>
        <v>0</v>
      </c>
      <c r="H65" s="217">
        <f>+'CO2'!F65</f>
        <v>874640</v>
      </c>
      <c r="I65" s="217">
        <f>+'CO3'!F65</f>
        <v>0</v>
      </c>
      <c r="J65" s="217">
        <f>+'CO4'!F65</f>
        <v>0</v>
      </c>
      <c r="K65" s="217">
        <f t="shared" si="1"/>
        <v>218660</v>
      </c>
      <c r="L65" s="217">
        <f t="shared" si="5"/>
        <v>218660</v>
      </c>
    </row>
    <row r="66" spans="1:12" hidden="1" x14ac:dyDescent="0.2">
      <c r="A66" s="158">
        <f t="shared" si="4"/>
        <v>36</v>
      </c>
      <c r="B66" s="156" t="s">
        <v>100</v>
      </c>
      <c r="C66" s="151">
        <v>1</v>
      </c>
      <c r="D66" s="154" t="s">
        <v>77</v>
      </c>
      <c r="E66" s="181"/>
      <c r="F66" s="181">
        <f t="shared" si="6"/>
        <v>0</v>
      </c>
      <c r="G66" s="217">
        <f>+'C01_INICIAL'!F66</f>
        <v>0</v>
      </c>
      <c r="H66" s="217">
        <f>+'CO2'!F66</f>
        <v>1216800</v>
      </c>
      <c r="I66" s="217">
        <f>+'CO3'!F66</f>
        <v>0</v>
      </c>
      <c r="J66" s="217">
        <f>+'CO4'!F66</f>
        <v>0</v>
      </c>
      <c r="K66" s="217">
        <f t="shared" si="1"/>
        <v>304200</v>
      </c>
      <c r="L66" s="217">
        <f t="shared" si="5"/>
        <v>304200</v>
      </c>
    </row>
    <row r="67" spans="1:12" x14ac:dyDescent="0.2">
      <c r="A67" s="158">
        <f t="shared" si="4"/>
        <v>37</v>
      </c>
      <c r="B67" s="156" t="s">
        <v>155</v>
      </c>
      <c r="C67" s="151">
        <v>5000</v>
      </c>
      <c r="D67" s="159"/>
      <c r="E67" s="181">
        <v>3200</v>
      </c>
      <c r="F67" s="181">
        <f t="shared" si="6"/>
        <v>16000000</v>
      </c>
      <c r="G67" s="217">
        <f>+'C01_INICIAL'!F67</f>
        <v>3200</v>
      </c>
      <c r="H67" s="217">
        <f>+'CO2'!F67</f>
        <v>1430</v>
      </c>
      <c r="I67" s="217">
        <f>+'CO3'!F67</f>
        <v>4060</v>
      </c>
      <c r="J67" s="217">
        <f>+'CO4'!F67</f>
        <v>4900</v>
      </c>
      <c r="K67" s="217">
        <f t="shared" si="1"/>
        <v>3397.5</v>
      </c>
      <c r="L67" s="217">
        <f t="shared" si="5"/>
        <v>16987500</v>
      </c>
    </row>
    <row r="68" spans="1:12" x14ac:dyDescent="0.2">
      <c r="A68" s="143"/>
      <c r="B68" s="552" t="s">
        <v>178</v>
      </c>
      <c r="C68" s="553"/>
      <c r="D68" s="553"/>
      <c r="E68" s="553"/>
      <c r="F68" s="554"/>
      <c r="G68" s="217">
        <f>+'C01_INICIAL'!F68</f>
        <v>0</v>
      </c>
      <c r="H68" s="217">
        <f>+'CO2'!F68</f>
        <v>0</v>
      </c>
      <c r="I68" s="217">
        <f>+'CO3'!F68</f>
        <v>0</v>
      </c>
      <c r="J68" s="217">
        <f>+'CO4'!F68</f>
        <v>0</v>
      </c>
      <c r="K68" s="217">
        <f t="shared" si="1"/>
        <v>0</v>
      </c>
      <c r="L68" s="217">
        <f t="shared" si="5"/>
        <v>0</v>
      </c>
    </row>
    <row r="69" spans="1:12" x14ac:dyDescent="0.2">
      <c r="A69" s="158">
        <v>1</v>
      </c>
      <c r="B69" s="156" t="s">
        <v>163</v>
      </c>
      <c r="C69" s="160">
        <v>1</v>
      </c>
      <c r="D69" s="159"/>
      <c r="E69" s="181">
        <v>1200000</v>
      </c>
      <c r="F69" s="181">
        <v>1200000</v>
      </c>
      <c r="G69" s="251">
        <f>+'C01_INICIAL'!F69</f>
        <v>1200000</v>
      </c>
      <c r="H69" s="217">
        <f>+'CO2'!F69</f>
        <v>364</v>
      </c>
      <c r="I69" s="217">
        <f>+'CO3'!F69</f>
        <v>663917</v>
      </c>
      <c r="J69" s="217">
        <f>+'CO4'!F69</f>
        <v>476050</v>
      </c>
      <c r="K69" s="217">
        <f t="shared" si="1"/>
        <v>585082.75</v>
      </c>
      <c r="L69" s="217">
        <f t="shared" si="5"/>
        <v>585082.75</v>
      </c>
    </row>
    <row r="70" spans="1:12" x14ac:dyDescent="0.2">
      <c r="A70" s="158">
        <v>2</v>
      </c>
      <c r="B70" s="156" t="s">
        <v>164</v>
      </c>
      <c r="C70" s="160">
        <v>58500</v>
      </c>
      <c r="D70" s="159" t="s">
        <v>77</v>
      </c>
      <c r="E70" s="181">
        <v>270</v>
      </c>
      <c r="F70" s="181">
        <f>+E70*C70</f>
        <v>15795000</v>
      </c>
      <c r="G70" s="217">
        <f>+'C01_INICIAL'!F70</f>
        <v>270</v>
      </c>
      <c r="H70" s="251">
        <f>+'CO2'!F70</f>
        <v>3197182.3993580537</v>
      </c>
      <c r="I70" s="217">
        <f>+'CO3'!F70</f>
        <v>223.88</v>
      </c>
      <c r="J70" s="217">
        <f>+'CO4'!F70</f>
        <v>605</v>
      </c>
      <c r="K70" s="217">
        <f t="shared" si="1"/>
        <v>799570.31983951339</v>
      </c>
      <c r="L70" s="217">
        <f t="shared" si="5"/>
        <v>46774863710.611534</v>
      </c>
    </row>
    <row r="71" spans="1:12" ht="25.5" x14ac:dyDescent="0.2">
      <c r="A71" s="158">
        <v>3</v>
      </c>
      <c r="B71" s="156" t="s">
        <v>165</v>
      </c>
      <c r="C71" s="160">
        <v>1</v>
      </c>
      <c r="D71" s="159"/>
      <c r="E71" s="181">
        <v>2300000</v>
      </c>
      <c r="F71" s="181">
        <v>2300000</v>
      </c>
      <c r="G71" s="217">
        <f>+'C01_INICIAL'!F71</f>
        <v>2300000</v>
      </c>
      <c r="H71" s="217">
        <f>+'CO2'!F71</f>
        <v>2990</v>
      </c>
      <c r="I71" s="217" t="e">
        <f>+'CO3'!#REF!</f>
        <v>#REF!</v>
      </c>
      <c r="J71" s="217">
        <f>+'CO4'!F71</f>
        <v>185100</v>
      </c>
      <c r="K71" s="217" t="e">
        <f t="shared" si="1"/>
        <v>#REF!</v>
      </c>
      <c r="L71" s="217" t="e">
        <f t="shared" si="5"/>
        <v>#REF!</v>
      </c>
    </row>
    <row r="72" spans="1:12" ht="25.5" x14ac:dyDescent="0.2">
      <c r="A72" s="158">
        <v>4</v>
      </c>
      <c r="B72" s="156" t="s">
        <v>166</v>
      </c>
      <c r="C72" s="160">
        <v>29250</v>
      </c>
      <c r="D72" s="159" t="s">
        <v>77</v>
      </c>
      <c r="E72" s="181">
        <v>1900</v>
      </c>
      <c r="F72" s="181">
        <f>+E72*C72</f>
        <v>55575000</v>
      </c>
      <c r="G72" s="217">
        <f>+'C01_INICIAL'!F72</f>
        <v>1900</v>
      </c>
      <c r="H72" s="251">
        <f>+'CO2'!F72</f>
        <v>1022163.3362408016</v>
      </c>
      <c r="I72" s="217" t="e">
        <f>+'CO3'!#REF!</f>
        <v>#REF!</v>
      </c>
      <c r="J72" s="217">
        <f>+'CO4'!F72</f>
        <v>4384</v>
      </c>
      <c r="K72" s="217" t="e">
        <f t="shared" si="1"/>
        <v>#REF!</v>
      </c>
      <c r="L72" s="217" t="e">
        <f t="shared" si="5"/>
        <v>#REF!</v>
      </c>
    </row>
    <row r="73" spans="1:12" ht="25.5" x14ac:dyDescent="0.2">
      <c r="A73" s="158">
        <v>5</v>
      </c>
      <c r="B73" s="156" t="s">
        <v>167</v>
      </c>
      <c r="C73" s="160">
        <v>1</v>
      </c>
      <c r="D73" s="159"/>
      <c r="E73" s="181">
        <v>2500000</v>
      </c>
      <c r="F73" s="181">
        <v>2500000</v>
      </c>
      <c r="G73" s="251">
        <f>+'C01_INICIAL'!F73</f>
        <v>2500000</v>
      </c>
      <c r="H73" s="217">
        <f>+'CO2'!F73</f>
        <v>325</v>
      </c>
      <c r="I73" s="217">
        <f>+'CO3'!F71</f>
        <v>360413</v>
      </c>
      <c r="J73" s="217">
        <f>+'CO4'!F73</f>
        <v>760725</v>
      </c>
      <c r="K73" s="217">
        <f t="shared" si="1"/>
        <v>905365.75</v>
      </c>
      <c r="L73" s="217">
        <f t="shared" si="5"/>
        <v>905365.75</v>
      </c>
    </row>
    <row r="74" spans="1:12" ht="25.5" x14ac:dyDescent="0.2">
      <c r="A74" s="158">
        <v>6</v>
      </c>
      <c r="B74" s="156" t="s">
        <v>168</v>
      </c>
      <c r="C74" s="160">
        <v>29250</v>
      </c>
      <c r="D74" s="159" t="s">
        <v>77</v>
      </c>
      <c r="E74" s="181">
        <v>2800</v>
      </c>
      <c r="F74" s="181">
        <f>+E74*C74</f>
        <v>81900000</v>
      </c>
      <c r="G74" s="217">
        <f>+'C01_INICIAL'!F74</f>
        <v>2800</v>
      </c>
      <c r="H74" s="251">
        <f>+'CO2'!F74</f>
        <v>3200214.8770128721</v>
      </c>
      <c r="I74" s="217">
        <f>+'CO3'!F72</f>
        <v>266.8</v>
      </c>
      <c r="J74" s="217">
        <f>+'CO4'!F74</f>
        <v>372</v>
      </c>
      <c r="K74" s="252">
        <f t="shared" si="1"/>
        <v>800913.41925321799</v>
      </c>
      <c r="L74" s="217">
        <f t="shared" si="5"/>
        <v>23426717513.156628</v>
      </c>
    </row>
    <row r="75" spans="1:12" x14ac:dyDescent="0.2">
      <c r="A75" s="158">
        <v>7</v>
      </c>
      <c r="B75" s="156" t="s">
        <v>149</v>
      </c>
      <c r="C75" s="160">
        <v>29250</v>
      </c>
      <c r="D75" s="159" t="s">
        <v>77</v>
      </c>
      <c r="E75" s="181">
        <v>25000</v>
      </c>
      <c r="F75" s="181">
        <f>+E75*C75</f>
        <v>731250000</v>
      </c>
      <c r="G75" s="217">
        <f>+'C01_INICIAL'!F75</f>
        <v>25000</v>
      </c>
      <c r="H75" s="217">
        <f>+'CO2'!F75</f>
        <v>26000</v>
      </c>
      <c r="I75" s="217">
        <f>+'CO3'!F73</f>
        <v>0</v>
      </c>
      <c r="J75" s="217">
        <f>+'CO4'!F75</f>
        <v>31850</v>
      </c>
      <c r="K75" s="217">
        <f t="shared" si="1"/>
        <v>20712.5</v>
      </c>
      <c r="L75" s="217">
        <f t="shared" si="5"/>
        <v>605840625</v>
      </c>
    </row>
    <row r="76" spans="1:12" x14ac:dyDescent="0.2">
      <c r="A76" s="158">
        <v>8</v>
      </c>
      <c r="B76" s="156" t="s">
        <v>150</v>
      </c>
      <c r="C76" s="160">
        <v>29250</v>
      </c>
      <c r="D76" s="159" t="s">
        <v>77</v>
      </c>
      <c r="E76" s="181">
        <v>3500</v>
      </c>
      <c r="F76" s="181">
        <f>+E76*C76</f>
        <v>102375000</v>
      </c>
      <c r="G76" s="217">
        <f>+'C01_INICIAL'!F76</f>
        <v>3500</v>
      </c>
      <c r="H76" s="217">
        <f>+'CO2'!F76</f>
        <v>650</v>
      </c>
      <c r="I76" s="217">
        <f>+'CO3'!F74</f>
        <v>0</v>
      </c>
      <c r="J76" s="217">
        <f>+'CO4'!F76</f>
        <v>20000</v>
      </c>
      <c r="K76" s="217">
        <f t="shared" si="1"/>
        <v>6037.5</v>
      </c>
      <c r="L76" s="217">
        <f t="shared" ref="L76:L87" si="7">+K76*C76</f>
        <v>176596875</v>
      </c>
    </row>
    <row r="77" spans="1:12" x14ac:dyDescent="0.2">
      <c r="A77" s="146">
        <v>9</v>
      </c>
      <c r="B77" s="156" t="s">
        <v>76</v>
      </c>
      <c r="C77" s="160">
        <v>29250</v>
      </c>
      <c r="D77" s="159" t="s">
        <v>77</v>
      </c>
      <c r="E77" s="181">
        <v>9200</v>
      </c>
      <c r="F77" s="181">
        <f>+E77*C77</f>
        <v>269100000</v>
      </c>
      <c r="G77" s="217">
        <f>+'C01_INICIAL'!F77</f>
        <v>9200</v>
      </c>
      <c r="H77" s="217">
        <f>+'CO2'!F77</f>
        <v>5000</v>
      </c>
      <c r="I77" s="217">
        <f>+'CO3'!F75</f>
        <v>0</v>
      </c>
      <c r="J77" s="217">
        <f>+'CO4'!F77</f>
        <v>4017</v>
      </c>
      <c r="K77" s="217">
        <f t="shared" ref="K77:K86" si="8">+AVERAGE(G77:J77)</f>
        <v>4554.25</v>
      </c>
      <c r="L77" s="217">
        <f t="shared" si="7"/>
        <v>133211812.5</v>
      </c>
    </row>
    <row r="78" spans="1:12" x14ac:dyDescent="0.2">
      <c r="A78" s="143"/>
      <c r="B78" s="142" t="s">
        <v>179</v>
      </c>
      <c r="C78" s="144"/>
      <c r="D78" s="142"/>
      <c r="E78" s="180"/>
      <c r="F78" s="180"/>
      <c r="G78" s="217">
        <f>+'C01_INICIAL'!F78</f>
        <v>0</v>
      </c>
      <c r="H78" s="217">
        <f>+'CO2'!F78</f>
        <v>0</v>
      </c>
      <c r="I78" s="217">
        <f>+'CO3'!F76</f>
        <v>0</v>
      </c>
      <c r="J78" s="217">
        <f>+'CO4'!F78</f>
        <v>0</v>
      </c>
      <c r="K78" s="217">
        <f t="shared" si="8"/>
        <v>0</v>
      </c>
      <c r="L78" s="217">
        <f t="shared" si="7"/>
        <v>0</v>
      </c>
    </row>
    <row r="79" spans="1:12" x14ac:dyDescent="0.2">
      <c r="A79" s="158" t="s">
        <v>180</v>
      </c>
      <c r="B79" s="156" t="s">
        <v>143</v>
      </c>
      <c r="C79" s="151">
        <v>1</v>
      </c>
      <c r="D79" s="159" t="s">
        <v>106</v>
      </c>
      <c r="E79" s="181">
        <v>3200000</v>
      </c>
      <c r="F79" s="181">
        <f>+E79*C79</f>
        <v>3200000</v>
      </c>
      <c r="G79" s="217">
        <f>+'C01_INICIAL'!F79</f>
        <v>3200000</v>
      </c>
      <c r="H79" s="217">
        <f>+'CO2'!F79</f>
        <v>15080000</v>
      </c>
      <c r="I79" s="251">
        <f>+'CO3'!F77</f>
        <v>35000000</v>
      </c>
      <c r="J79" s="217">
        <f>+'CO4'!F79</f>
        <v>21890000</v>
      </c>
      <c r="K79" s="217">
        <f t="shared" si="8"/>
        <v>18792500</v>
      </c>
      <c r="L79" s="217">
        <f t="shared" si="7"/>
        <v>18792500</v>
      </c>
    </row>
    <row r="80" spans="1:12" x14ac:dyDescent="0.2">
      <c r="A80" s="158" t="s">
        <v>181</v>
      </c>
      <c r="B80" s="156" t="s">
        <v>118</v>
      </c>
      <c r="C80" s="151">
        <v>1</v>
      </c>
      <c r="D80" s="159" t="s">
        <v>119</v>
      </c>
      <c r="E80" s="181">
        <v>15600000</v>
      </c>
      <c r="F80" s="181">
        <f>+E80*C80</f>
        <v>15600000</v>
      </c>
      <c r="G80" s="217">
        <f>+'C01_INICIAL'!F80</f>
        <v>15600000</v>
      </c>
      <c r="H80" s="217">
        <f>+'CO2'!F80</f>
        <v>37700000</v>
      </c>
      <c r="I80" s="251">
        <f>+'CO3'!F78</f>
        <v>235000000</v>
      </c>
      <c r="J80" s="217">
        <f>+'CO4'!F80</f>
        <v>49000000</v>
      </c>
      <c r="K80" s="217">
        <f t="shared" si="8"/>
        <v>84325000</v>
      </c>
      <c r="L80" s="217">
        <f t="shared" si="7"/>
        <v>84325000</v>
      </c>
    </row>
    <row r="81" spans="1:12" x14ac:dyDescent="0.2">
      <c r="A81" s="158" t="s">
        <v>182</v>
      </c>
      <c r="B81" s="156" t="s">
        <v>120</v>
      </c>
      <c r="C81" s="160">
        <v>4000</v>
      </c>
      <c r="D81" s="159" t="s">
        <v>108</v>
      </c>
      <c r="E81" s="181">
        <v>900</v>
      </c>
      <c r="F81" s="181">
        <f>+E81*C81</f>
        <v>3600000</v>
      </c>
      <c r="G81" s="217">
        <f>+'C01_INICIAL'!F81</f>
        <v>900</v>
      </c>
      <c r="H81" s="217">
        <f>+'CO2'!F81</f>
        <v>754</v>
      </c>
      <c r="I81" s="217">
        <f>+'CO3'!F79</f>
        <v>500</v>
      </c>
      <c r="J81" s="217">
        <f>+'CO4'!F81</f>
        <v>3000</v>
      </c>
      <c r="K81" s="217">
        <f t="shared" si="8"/>
        <v>1288.5</v>
      </c>
      <c r="L81" s="217">
        <f t="shared" si="7"/>
        <v>5154000</v>
      </c>
    </row>
    <row r="82" spans="1:12" ht="25.5" x14ac:dyDescent="0.2">
      <c r="A82" s="143"/>
      <c r="B82" s="165" t="s">
        <v>121</v>
      </c>
      <c r="C82" s="144"/>
      <c r="D82" s="142"/>
      <c r="E82" s="180"/>
      <c r="F82" s="180"/>
      <c r="G82" s="217">
        <f>+'C01_INICIAL'!F82</f>
        <v>0</v>
      </c>
      <c r="H82" s="217">
        <f>+'CO2'!F82</f>
        <v>0</v>
      </c>
      <c r="I82" s="217">
        <f>+'CO3'!F80</f>
        <v>0</v>
      </c>
      <c r="J82" s="217">
        <f>+'CO4'!F82</f>
        <v>0</v>
      </c>
      <c r="K82" s="217">
        <f t="shared" si="8"/>
        <v>0</v>
      </c>
      <c r="L82" s="217">
        <f t="shared" si="7"/>
        <v>0</v>
      </c>
    </row>
    <row r="83" spans="1:12" x14ac:dyDescent="0.2">
      <c r="A83" s="158"/>
      <c r="B83" s="156" t="s">
        <v>122</v>
      </c>
      <c r="C83" s="151"/>
      <c r="D83" s="159"/>
      <c r="E83" s="181"/>
      <c r="F83" s="181"/>
      <c r="G83" s="217">
        <f>+'C01_INICIAL'!F83</f>
        <v>0</v>
      </c>
      <c r="H83" s="217">
        <f>+'CO2'!F83</f>
        <v>0</v>
      </c>
      <c r="I83" s="217">
        <f>+'CO3'!F81</f>
        <v>0</v>
      </c>
      <c r="J83" s="217">
        <f>+'CO4'!F83</f>
        <v>0</v>
      </c>
      <c r="K83" s="217">
        <f t="shared" si="8"/>
        <v>0</v>
      </c>
      <c r="L83" s="217">
        <f t="shared" si="7"/>
        <v>0</v>
      </c>
    </row>
    <row r="84" spans="1:12" x14ac:dyDescent="0.2">
      <c r="A84" s="143"/>
      <c r="B84" s="165" t="s">
        <v>183</v>
      </c>
      <c r="C84" s="144"/>
      <c r="D84" s="142"/>
      <c r="E84" s="180"/>
      <c r="F84" s="180"/>
      <c r="G84" s="217">
        <f>+'C01_INICIAL'!F84</f>
        <v>0</v>
      </c>
      <c r="H84" s="217">
        <f>+'CO2'!F84</f>
        <v>0</v>
      </c>
      <c r="I84" s="217">
        <f>+'CO3'!F82</f>
        <v>0</v>
      </c>
      <c r="J84" s="217">
        <f>+'CO4'!F84</f>
        <v>0</v>
      </c>
      <c r="K84" s="217">
        <f t="shared" si="8"/>
        <v>0</v>
      </c>
      <c r="L84" s="217">
        <f t="shared" si="7"/>
        <v>0</v>
      </c>
    </row>
    <row r="85" spans="1:12" x14ac:dyDescent="0.2">
      <c r="A85" s="146" t="s">
        <v>184</v>
      </c>
      <c r="B85" s="147" t="s">
        <v>162</v>
      </c>
      <c r="C85" s="148">
        <v>1</v>
      </c>
      <c r="D85" s="166" t="s">
        <v>77</v>
      </c>
      <c r="E85" s="184">
        <v>100000000</v>
      </c>
      <c r="F85" s="181">
        <v>100000000</v>
      </c>
      <c r="G85" s="217">
        <f>+'C01_INICIAL'!F85</f>
        <v>100000000</v>
      </c>
      <c r="H85" s="217">
        <f>+'CO2'!F85</f>
        <v>18096000</v>
      </c>
      <c r="I85" s="217">
        <f>+'CO3'!F83</f>
        <v>96000000</v>
      </c>
      <c r="J85" s="217">
        <f>+'CO4'!F85</f>
        <v>95500000</v>
      </c>
      <c r="K85" s="217">
        <f t="shared" si="8"/>
        <v>77399000</v>
      </c>
      <c r="L85" s="217">
        <f t="shared" si="7"/>
        <v>77399000</v>
      </c>
    </row>
    <row r="86" spans="1:12" x14ac:dyDescent="0.2">
      <c r="A86" s="167"/>
      <c r="B86" s="168" t="s">
        <v>185</v>
      </c>
      <c r="C86" s="169"/>
      <c r="D86" s="168"/>
      <c r="E86" s="180"/>
      <c r="F86" s="180"/>
      <c r="G86" s="217">
        <f>+'C01_INICIAL'!F86</f>
        <v>0</v>
      </c>
      <c r="H86" s="217">
        <f>+'CO2'!F86</f>
        <v>0</v>
      </c>
      <c r="I86" s="217">
        <f>+'CO3'!F84</f>
        <v>0</v>
      </c>
      <c r="J86" s="217">
        <f>+'CO4'!F86</f>
        <v>0</v>
      </c>
      <c r="K86" s="217">
        <f t="shared" si="8"/>
        <v>0</v>
      </c>
      <c r="L86" s="217">
        <f t="shared" si="7"/>
        <v>0</v>
      </c>
    </row>
    <row r="87" spans="1:12" x14ac:dyDescent="0.2">
      <c r="A87" s="146">
        <v>2.6</v>
      </c>
      <c r="B87" s="156" t="s">
        <v>103</v>
      </c>
      <c r="C87" s="151">
        <v>10</v>
      </c>
      <c r="D87" s="154" t="s">
        <v>105</v>
      </c>
      <c r="E87" s="184">
        <v>35000000</v>
      </c>
      <c r="F87" s="181">
        <f>C87*E87</f>
        <v>350000000</v>
      </c>
      <c r="G87" s="251">
        <f>+'C01_INICIAL'!F87</f>
        <v>35000000</v>
      </c>
      <c r="H87" s="217">
        <f>+'CO2'!F87</f>
        <v>12064000</v>
      </c>
      <c r="I87" s="217">
        <f>+'CO3'!F85</f>
        <v>11210000</v>
      </c>
      <c r="J87" s="217">
        <f>+'CO4'!F87</f>
        <v>8690000</v>
      </c>
      <c r="K87" s="217">
        <f>+AVERAGE(G87:J87)</f>
        <v>16741000</v>
      </c>
      <c r="L87" s="217">
        <f t="shared" si="7"/>
        <v>167410000</v>
      </c>
    </row>
    <row r="89" spans="1:12" x14ac:dyDescent="0.2">
      <c r="G89" s="215">
        <f t="shared" ref="G89:K89" si="9">+SUM(G12:G87)</f>
        <v>376898800</v>
      </c>
      <c r="H89" s="215">
        <f t="shared" si="9"/>
        <v>1788189008.9856043</v>
      </c>
      <c r="I89" s="215" t="e">
        <f t="shared" si="9"/>
        <v>#REF!</v>
      </c>
      <c r="J89" s="215">
        <f t="shared" si="9"/>
        <v>336656540</v>
      </c>
      <c r="K89" s="215" t="e">
        <f t="shared" si="9"/>
        <v>#REF!</v>
      </c>
      <c r="L89" s="215" t="e">
        <f>+SUM(L12:L87)</f>
        <v>#REF!</v>
      </c>
    </row>
  </sheetData>
  <mergeCells count="5">
    <mergeCell ref="A8:F8"/>
    <mergeCell ref="A9:B9"/>
    <mergeCell ref="A24:A26"/>
    <mergeCell ref="B24:B26"/>
    <mergeCell ref="B68:F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90" zoomScaleNormal="90" zoomScalePageLayoutView="125" workbookViewId="0">
      <pane xSplit="2" ySplit="11" topLeftCell="H12" activePane="bottomRight" state="frozen"/>
      <selection pane="topRight" activeCell="C1" sqref="C1"/>
      <selection pane="bottomLeft" activeCell="A12" sqref="A12"/>
      <selection pane="bottomRight" activeCell="K12" sqref="K12:K87"/>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hidden="1" customWidth="1"/>
    <col min="7" max="7" width="20.28515625" style="178" hidden="1" customWidth="1"/>
    <col min="8" max="13" width="14.85546875" style="215" bestFit="1" customWidth="1"/>
    <col min="14" max="16384" width="10.85546875" style="137"/>
  </cols>
  <sheetData>
    <row r="1" spans="1:13" x14ac:dyDescent="0.2">
      <c r="B1" s="213" t="s">
        <v>191</v>
      </c>
    </row>
    <row r="2" spans="1:13" x14ac:dyDescent="0.2">
      <c r="B2" s="213" t="s">
        <v>192</v>
      </c>
    </row>
    <row r="3" spans="1:13" x14ac:dyDescent="0.2">
      <c r="B3" s="213" t="s">
        <v>194</v>
      </c>
    </row>
    <row r="4" spans="1:13" x14ac:dyDescent="0.2">
      <c r="B4" s="214" t="s">
        <v>161</v>
      </c>
    </row>
    <row r="5" spans="1:13" x14ac:dyDescent="0.2">
      <c r="B5" s="213" t="s">
        <v>160</v>
      </c>
    </row>
    <row r="6" spans="1:13" x14ac:dyDescent="0.2">
      <c r="B6" s="213" t="s">
        <v>193</v>
      </c>
    </row>
    <row r="8" spans="1:13" ht="15" customHeight="1" x14ac:dyDescent="0.2">
      <c r="A8" s="545" t="s">
        <v>102</v>
      </c>
      <c r="B8" s="545"/>
      <c r="C8" s="545"/>
      <c r="D8" s="545"/>
      <c r="E8" s="545"/>
      <c r="F8" s="545"/>
      <c r="G8" s="545"/>
    </row>
    <row r="9" spans="1:13" ht="25.5" x14ac:dyDescent="0.2">
      <c r="A9" s="546" t="s">
        <v>62</v>
      </c>
      <c r="B9" s="547"/>
      <c r="C9" s="138" t="s">
        <v>63</v>
      </c>
      <c r="D9" s="139" t="s">
        <v>64</v>
      </c>
      <c r="E9" s="185" t="s">
        <v>65</v>
      </c>
      <c r="F9" s="179" t="s">
        <v>101</v>
      </c>
      <c r="G9" s="179" t="s">
        <v>61</v>
      </c>
    </row>
    <row r="10" spans="1:13" x14ac:dyDescent="0.2">
      <c r="A10" s="141"/>
      <c r="B10" s="142" t="s">
        <v>117</v>
      </c>
      <c r="C10" s="138"/>
      <c r="D10" s="139"/>
      <c r="E10" s="185"/>
      <c r="F10" s="179"/>
      <c r="G10" s="179"/>
      <c r="H10" s="218" t="s">
        <v>218</v>
      </c>
      <c r="I10" s="218" t="s">
        <v>219</v>
      </c>
      <c r="J10" s="218" t="s">
        <v>232</v>
      </c>
      <c r="K10" s="218" t="s">
        <v>233</v>
      </c>
      <c r="L10" s="218"/>
      <c r="M10" s="218"/>
    </row>
    <row r="11" spans="1:13" ht="40.5" customHeight="1" x14ac:dyDescent="0.2">
      <c r="A11" s="143" t="s">
        <v>129</v>
      </c>
      <c r="B11" s="142" t="s">
        <v>170</v>
      </c>
      <c r="C11" s="144"/>
      <c r="D11" s="142"/>
      <c r="E11" s="145"/>
      <c r="F11" s="180"/>
      <c r="G11" s="180"/>
      <c r="H11" s="216" t="s">
        <v>101</v>
      </c>
      <c r="I11" s="216" t="s">
        <v>101</v>
      </c>
      <c r="J11" s="216" t="s">
        <v>101</v>
      </c>
      <c r="K11" s="216" t="s">
        <v>101</v>
      </c>
      <c r="L11" s="219" t="s">
        <v>220</v>
      </c>
      <c r="M11" s="219" t="s">
        <v>225</v>
      </c>
    </row>
    <row r="12" spans="1:13" ht="91.5" customHeight="1" x14ac:dyDescent="0.2">
      <c r="A12" s="146" t="s">
        <v>171</v>
      </c>
      <c r="B12" s="147" t="s">
        <v>127</v>
      </c>
      <c r="C12" s="148">
        <v>3</v>
      </c>
      <c r="D12" s="148" t="s">
        <v>111</v>
      </c>
      <c r="E12" s="149" t="s">
        <v>131</v>
      </c>
      <c r="F12" s="181">
        <v>29700000</v>
      </c>
      <c r="G12" s="181">
        <f>+F12*C12</f>
        <v>89100000</v>
      </c>
      <c r="H12" s="217">
        <f>+'C01_INICIAL'!F12</f>
        <v>29700000</v>
      </c>
      <c r="I12" s="217">
        <f>+'CO2'!F12</f>
        <v>143260000</v>
      </c>
      <c r="J12" s="217">
        <f>+'CO3'!F12</f>
        <v>34800000</v>
      </c>
      <c r="K12" s="217">
        <f>+'CO4'!F12</f>
        <v>14000000</v>
      </c>
      <c r="L12" s="217">
        <f>+AVERAGE(H12:K12)</f>
        <v>55440000</v>
      </c>
      <c r="M12" s="217">
        <f t="shared" ref="M12:M43" si="0">+L12*C12</f>
        <v>166320000</v>
      </c>
    </row>
    <row r="13" spans="1:13" ht="99" customHeight="1" x14ac:dyDescent="0.2">
      <c r="A13" s="150" t="s">
        <v>171</v>
      </c>
      <c r="B13" s="147" t="s">
        <v>128</v>
      </c>
      <c r="C13" s="148">
        <v>2</v>
      </c>
      <c r="D13" s="148" t="s">
        <v>111</v>
      </c>
      <c r="E13" s="149" t="s">
        <v>132</v>
      </c>
      <c r="F13" s="181">
        <v>29400000</v>
      </c>
      <c r="G13" s="181">
        <f t="shared" ref="G13:G76" si="1">+F13*C13</f>
        <v>58800000</v>
      </c>
      <c r="H13" s="217">
        <f>+'C01_INICIAL'!F13</f>
        <v>29400000</v>
      </c>
      <c r="I13" s="217">
        <f>+'CO2'!F13</f>
        <v>120640000</v>
      </c>
      <c r="J13" s="217">
        <f>+'CO3'!F13</f>
        <v>31320000</v>
      </c>
      <c r="K13" s="217">
        <f>+'CO4'!F13</f>
        <v>12600000</v>
      </c>
      <c r="L13" s="217">
        <f t="shared" ref="L13:L76" si="2">+AVERAGE(H13:K13)</f>
        <v>48490000</v>
      </c>
      <c r="M13" s="217">
        <f t="shared" si="0"/>
        <v>96980000</v>
      </c>
    </row>
    <row r="14" spans="1:13" ht="81.75" customHeight="1" x14ac:dyDescent="0.2">
      <c r="A14" s="150" t="s">
        <v>171</v>
      </c>
      <c r="B14" s="147" t="s">
        <v>186</v>
      </c>
      <c r="C14" s="148">
        <v>5</v>
      </c>
      <c r="D14" s="148" t="s">
        <v>110</v>
      </c>
      <c r="E14" s="149" t="s">
        <v>136</v>
      </c>
      <c r="F14" s="181">
        <v>7300000</v>
      </c>
      <c r="G14" s="181">
        <f t="shared" si="1"/>
        <v>36500000</v>
      </c>
      <c r="H14" s="217">
        <f>+'C01_INICIAL'!F14</f>
        <v>7300000</v>
      </c>
      <c r="I14" s="217">
        <f>+'CO2'!F14</f>
        <v>180960000</v>
      </c>
      <c r="J14" s="217">
        <f>+'CO3'!F14</f>
        <v>7888000</v>
      </c>
      <c r="K14" s="217">
        <f>+'CO4'!F14</f>
        <v>15400000</v>
      </c>
      <c r="L14" s="217">
        <f t="shared" si="2"/>
        <v>52887000</v>
      </c>
      <c r="M14" s="217">
        <f t="shared" si="0"/>
        <v>264435000</v>
      </c>
    </row>
    <row r="15" spans="1:13" ht="162.75" customHeight="1" x14ac:dyDescent="0.2">
      <c r="A15" s="146" t="s">
        <v>171</v>
      </c>
      <c r="B15" s="147" t="s">
        <v>187</v>
      </c>
      <c r="C15" s="148">
        <v>5</v>
      </c>
      <c r="D15" s="148" t="s">
        <v>110</v>
      </c>
      <c r="E15" s="149" t="s">
        <v>112</v>
      </c>
      <c r="F15" s="181">
        <v>5400000</v>
      </c>
      <c r="G15" s="181">
        <f t="shared" si="1"/>
        <v>27000000</v>
      </c>
      <c r="H15" s="217">
        <f>+'C01_INICIAL'!F15</f>
        <v>5400000</v>
      </c>
      <c r="I15" s="217">
        <f>+'CO2'!F15</f>
        <v>226200000</v>
      </c>
      <c r="J15" s="217">
        <f>+'CO3'!F15</f>
        <v>9280000</v>
      </c>
      <c r="K15" s="217">
        <f>+'CO4'!F15</f>
        <v>18200000</v>
      </c>
      <c r="L15" s="217">
        <f t="shared" si="2"/>
        <v>64770000</v>
      </c>
      <c r="M15" s="217">
        <f t="shared" si="0"/>
        <v>323850000</v>
      </c>
    </row>
    <row r="16" spans="1:13" ht="25.5" x14ac:dyDescent="0.2">
      <c r="A16" s="146" t="s">
        <v>172</v>
      </c>
      <c r="B16" s="147" t="s">
        <v>113</v>
      </c>
      <c r="C16" s="148">
        <v>6</v>
      </c>
      <c r="D16" s="148" t="s">
        <v>114</v>
      </c>
      <c r="E16" s="149" t="s">
        <v>115</v>
      </c>
      <c r="F16" s="181">
        <v>21000000</v>
      </c>
      <c r="G16" s="181">
        <f t="shared" si="1"/>
        <v>126000000</v>
      </c>
      <c r="H16" s="217">
        <f>+'C01_INICIAL'!F16</f>
        <v>21000000</v>
      </c>
      <c r="I16" s="217">
        <f>+'CO2'!F16</f>
        <v>64693200</v>
      </c>
      <c r="J16" s="217">
        <f>+'CO3'!F16</f>
        <v>87000000</v>
      </c>
      <c r="K16" s="217">
        <f>+'CO4'!F16</f>
        <v>23800000</v>
      </c>
      <c r="L16" s="217">
        <f t="shared" si="2"/>
        <v>49123300</v>
      </c>
      <c r="M16" s="217">
        <f t="shared" si="0"/>
        <v>294739800</v>
      </c>
    </row>
    <row r="17" spans="1:13" ht="43.5" customHeight="1" x14ac:dyDescent="0.2">
      <c r="A17" s="146" t="s">
        <v>173</v>
      </c>
      <c r="B17" s="147" t="s">
        <v>107</v>
      </c>
      <c r="C17" s="151">
        <v>16</v>
      </c>
      <c r="D17" s="148" t="s">
        <v>123</v>
      </c>
      <c r="E17" s="149" t="s">
        <v>116</v>
      </c>
      <c r="F17" s="181">
        <v>14500000</v>
      </c>
      <c r="G17" s="181">
        <f t="shared" si="1"/>
        <v>232000000</v>
      </c>
      <c r="H17" s="217">
        <f>+'C01_INICIAL'!F17</f>
        <v>14500000</v>
      </c>
      <c r="I17" s="217">
        <f>+'CO2'!F17</f>
        <v>180000000</v>
      </c>
      <c r="J17" s="217">
        <f>+'CO3'!F17</f>
        <v>29000000</v>
      </c>
      <c r="K17" s="217">
        <f>+'CO4'!F17</f>
        <v>26600000</v>
      </c>
      <c r="L17" s="217">
        <f t="shared" si="2"/>
        <v>62525000</v>
      </c>
      <c r="M17" s="217">
        <f t="shared" si="0"/>
        <v>1000400000</v>
      </c>
    </row>
    <row r="18" spans="1:13" ht="285.75" customHeight="1" x14ac:dyDescent="0.2">
      <c r="A18" s="152" t="s">
        <v>174</v>
      </c>
      <c r="B18" s="147" t="s">
        <v>151</v>
      </c>
      <c r="C18" s="148">
        <v>2</v>
      </c>
      <c r="D18" s="148" t="s">
        <v>145</v>
      </c>
      <c r="E18" s="149" t="s">
        <v>152</v>
      </c>
      <c r="F18" s="181">
        <v>15400000</v>
      </c>
      <c r="G18" s="181">
        <f t="shared" si="1"/>
        <v>30800000</v>
      </c>
      <c r="H18" s="217">
        <f>+'C01_INICIAL'!F18</f>
        <v>15400000</v>
      </c>
      <c r="I18" s="217">
        <f>+'CO2'!F18</f>
        <v>250800000</v>
      </c>
      <c r="J18" s="217">
        <f>+'CO3'!F18</f>
        <v>17400000</v>
      </c>
      <c r="K18" s="217">
        <f>+'CO4'!F18</f>
        <v>4384800</v>
      </c>
      <c r="L18" s="217">
        <f t="shared" si="2"/>
        <v>71996200</v>
      </c>
      <c r="M18" s="217">
        <f t="shared" si="0"/>
        <v>143992400</v>
      </c>
    </row>
    <row r="19" spans="1:13" ht="270" customHeight="1" x14ac:dyDescent="0.2">
      <c r="A19" s="152">
        <v>2.4</v>
      </c>
      <c r="B19" s="147" t="s">
        <v>176</v>
      </c>
      <c r="C19" s="148">
        <v>2</v>
      </c>
      <c r="D19" s="148" t="s">
        <v>145</v>
      </c>
      <c r="E19" s="149" t="s">
        <v>175</v>
      </c>
      <c r="F19" s="181">
        <v>21000000</v>
      </c>
      <c r="G19" s="181">
        <f t="shared" si="1"/>
        <v>42000000</v>
      </c>
      <c r="H19" s="217">
        <f>+'C01_INICIAL'!F19</f>
        <v>21000000</v>
      </c>
      <c r="I19" s="217">
        <f>+'CO2'!F19</f>
        <v>300800000</v>
      </c>
      <c r="J19" s="217">
        <f>+'CO3'!F19</f>
        <v>14160000</v>
      </c>
      <c r="K19" s="217">
        <f>+'CO4'!F19</f>
        <v>8769600</v>
      </c>
      <c r="L19" s="217">
        <f t="shared" si="2"/>
        <v>86182400</v>
      </c>
      <c r="M19" s="217">
        <f t="shared" si="0"/>
        <v>172364800</v>
      </c>
    </row>
    <row r="20" spans="1:13" ht="305.25" customHeight="1" thickBot="1" x14ac:dyDescent="0.25">
      <c r="A20" s="152">
        <v>2.4</v>
      </c>
      <c r="B20" s="147" t="s">
        <v>153</v>
      </c>
      <c r="C20" s="148">
        <v>2</v>
      </c>
      <c r="D20" s="148" t="s">
        <v>145</v>
      </c>
      <c r="E20" s="149" t="s">
        <v>154</v>
      </c>
      <c r="F20" s="182">
        <v>19000000</v>
      </c>
      <c r="G20" s="181">
        <f t="shared" si="1"/>
        <v>38000000</v>
      </c>
      <c r="H20" s="217">
        <f>+'C01_INICIAL'!F20</f>
        <v>19000000</v>
      </c>
      <c r="I20" s="217">
        <f>+'CO2'!F20</f>
        <v>150800000</v>
      </c>
      <c r="J20" s="217">
        <f>+'CO3'!F20</f>
        <v>23200000</v>
      </c>
      <c r="K20" s="217">
        <f>+'CO4'!F20</f>
        <v>8769600</v>
      </c>
      <c r="L20" s="217">
        <f t="shared" si="2"/>
        <v>50442400</v>
      </c>
      <c r="M20" s="217">
        <f t="shared" si="0"/>
        <v>100884800</v>
      </c>
    </row>
    <row r="21" spans="1:13" ht="55.5" customHeight="1" x14ac:dyDescent="0.2">
      <c r="A21" s="152">
        <v>2</v>
      </c>
      <c r="B21" s="147" t="s">
        <v>144</v>
      </c>
      <c r="C21" s="147">
        <v>10</v>
      </c>
      <c r="D21" s="147" t="s">
        <v>145</v>
      </c>
      <c r="E21" s="147" t="s">
        <v>146</v>
      </c>
      <c r="F21" s="183">
        <v>5000000</v>
      </c>
      <c r="G21" s="181">
        <f t="shared" si="1"/>
        <v>50000000</v>
      </c>
      <c r="H21" s="217">
        <f>+'C01_INICIAL'!F21</f>
        <v>5000000</v>
      </c>
      <c r="I21" s="217">
        <f>+'CO2'!F21</f>
        <v>603200</v>
      </c>
      <c r="J21" s="217">
        <f>+'CO3'!F21</f>
        <v>348000</v>
      </c>
      <c r="K21" s="217">
        <f>+'CO4'!F21</f>
        <v>252000</v>
      </c>
      <c r="L21" s="217">
        <f t="shared" si="2"/>
        <v>1550800</v>
      </c>
      <c r="M21" s="217">
        <f t="shared" si="0"/>
        <v>15508000</v>
      </c>
    </row>
    <row r="22" spans="1:13" ht="216.75" customHeight="1" x14ac:dyDescent="0.2">
      <c r="A22" s="152">
        <v>2.1</v>
      </c>
      <c r="B22" s="147" t="s">
        <v>189</v>
      </c>
      <c r="C22" s="147">
        <v>48</v>
      </c>
      <c r="D22" s="147" t="s">
        <v>145</v>
      </c>
      <c r="E22" s="147" t="s">
        <v>147</v>
      </c>
      <c r="F22" s="184">
        <v>3500000</v>
      </c>
      <c r="G22" s="181">
        <f t="shared" si="1"/>
        <v>168000000</v>
      </c>
      <c r="H22" s="217">
        <f>+'C01_INICIAL'!F22</f>
        <v>3500000</v>
      </c>
      <c r="I22" s="217">
        <f>+'CO2'!F22</f>
        <v>1885000</v>
      </c>
      <c r="J22" s="217">
        <f>+'CO3'!F22</f>
        <v>1160000</v>
      </c>
      <c r="K22" s="217">
        <f>+'CO4'!F22</f>
        <v>150000</v>
      </c>
      <c r="L22" s="217">
        <f t="shared" si="2"/>
        <v>1673750</v>
      </c>
      <c r="M22" s="217">
        <f t="shared" si="0"/>
        <v>80340000</v>
      </c>
    </row>
    <row r="23" spans="1:13" ht="68.25" customHeight="1" x14ac:dyDescent="0.2">
      <c r="A23" s="152">
        <v>2.1</v>
      </c>
      <c r="B23" s="147" t="s">
        <v>148</v>
      </c>
      <c r="C23" s="147">
        <v>8</v>
      </c>
      <c r="D23" s="147" t="s">
        <v>145</v>
      </c>
      <c r="E23" s="147" t="s">
        <v>66</v>
      </c>
      <c r="F23" s="181">
        <v>1200000</v>
      </c>
      <c r="G23" s="181">
        <f t="shared" si="1"/>
        <v>9600000</v>
      </c>
      <c r="H23" s="217">
        <f>+'C01_INICIAL'!F23</f>
        <v>1200000</v>
      </c>
      <c r="I23" s="217">
        <f>+'CO2'!F23</f>
        <v>1017900</v>
      </c>
      <c r="J23" s="217">
        <f>+'CO3'!F23</f>
        <v>8921000</v>
      </c>
      <c r="K23" s="217">
        <f>+'CO4'!F23</f>
        <v>986000</v>
      </c>
      <c r="L23" s="217">
        <f t="shared" si="2"/>
        <v>3031225</v>
      </c>
      <c r="M23" s="217">
        <f t="shared" si="0"/>
        <v>24249800</v>
      </c>
    </row>
    <row r="24" spans="1:13" x14ac:dyDescent="0.2">
      <c r="A24" s="548">
        <v>2.1</v>
      </c>
      <c r="B24" s="551" t="s">
        <v>67</v>
      </c>
      <c r="C24" s="153">
        <v>8</v>
      </c>
      <c r="D24" s="154" t="s">
        <v>145</v>
      </c>
      <c r="E24" s="155" t="s">
        <v>68</v>
      </c>
      <c r="F24" s="181">
        <v>280000</v>
      </c>
      <c r="G24" s="181">
        <f t="shared" si="1"/>
        <v>2240000</v>
      </c>
      <c r="H24" s="217">
        <f>+'C01_INICIAL'!F24</f>
        <v>280000</v>
      </c>
      <c r="I24" s="217">
        <f>+'CO2'!F24</f>
        <v>244296</v>
      </c>
      <c r="J24" s="217">
        <f>+'CO3'!F24</f>
        <v>250000</v>
      </c>
      <c r="K24" s="217">
        <f>+'CO4'!F24</f>
        <v>30000</v>
      </c>
      <c r="L24" s="217">
        <f t="shared" si="2"/>
        <v>201074</v>
      </c>
      <c r="M24" s="217">
        <f t="shared" si="0"/>
        <v>1608592</v>
      </c>
    </row>
    <row r="25" spans="1:13" x14ac:dyDescent="0.2">
      <c r="A25" s="549"/>
      <c r="B25" s="551"/>
      <c r="C25" s="153">
        <v>8</v>
      </c>
      <c r="D25" s="154" t="s">
        <v>145</v>
      </c>
      <c r="E25" s="155" t="s">
        <v>69</v>
      </c>
      <c r="F25" s="181">
        <v>280000</v>
      </c>
      <c r="G25" s="181">
        <f t="shared" si="1"/>
        <v>2240000</v>
      </c>
      <c r="H25" s="217">
        <f>+'C01_INICIAL'!F25</f>
        <v>280000</v>
      </c>
      <c r="I25" s="217">
        <f>+'CO2'!F25</f>
        <v>203580</v>
      </c>
      <c r="J25" s="217">
        <f>+'CO3'!F25</f>
        <v>250000</v>
      </c>
      <c r="K25" s="217">
        <f>+'CO4'!F25</f>
        <v>25000</v>
      </c>
      <c r="L25" s="217">
        <f t="shared" si="2"/>
        <v>189645</v>
      </c>
      <c r="M25" s="217">
        <f t="shared" si="0"/>
        <v>1517160</v>
      </c>
    </row>
    <row r="26" spans="1:13" x14ac:dyDescent="0.2">
      <c r="A26" s="550"/>
      <c r="B26" s="551"/>
      <c r="C26" s="153">
        <v>8</v>
      </c>
      <c r="D26" s="154" t="s">
        <v>145</v>
      </c>
      <c r="E26" s="155" t="s">
        <v>70</v>
      </c>
      <c r="F26" s="181">
        <v>160000</v>
      </c>
      <c r="G26" s="181">
        <f t="shared" si="1"/>
        <v>1280000</v>
      </c>
      <c r="H26" s="217">
        <f>+'C01_INICIAL'!F26</f>
        <v>160000</v>
      </c>
      <c r="I26" s="217">
        <f>+'CO2'!F26</f>
        <v>203580</v>
      </c>
      <c r="J26" s="217">
        <f>+'CO3'!F26</f>
        <v>250000</v>
      </c>
      <c r="K26" s="217">
        <f>+'CO4'!F26</f>
        <v>30000</v>
      </c>
      <c r="L26" s="217">
        <f t="shared" si="2"/>
        <v>160895</v>
      </c>
      <c r="M26" s="217">
        <f t="shared" si="0"/>
        <v>1287160</v>
      </c>
    </row>
    <row r="27" spans="1:13" x14ac:dyDescent="0.2">
      <c r="A27" s="152">
        <v>2.1</v>
      </c>
      <c r="B27" s="156" t="s">
        <v>71</v>
      </c>
      <c r="C27" s="154">
        <v>8</v>
      </c>
      <c r="D27" s="154" t="s">
        <v>145</v>
      </c>
      <c r="E27" s="156" t="s">
        <v>72</v>
      </c>
      <c r="F27" s="181">
        <v>13200000</v>
      </c>
      <c r="G27" s="181">
        <f t="shared" si="1"/>
        <v>105600000</v>
      </c>
      <c r="H27" s="217">
        <f>+'C01_INICIAL'!F27</f>
        <v>13200000</v>
      </c>
      <c r="I27" s="217">
        <f>+'CO2'!F27</f>
        <v>15080000</v>
      </c>
      <c r="J27" s="217">
        <f>+'CO3'!F27</f>
        <v>17325000</v>
      </c>
      <c r="K27" s="217">
        <f>+'CO4'!F27</f>
        <v>950000</v>
      </c>
      <c r="L27" s="217">
        <f t="shared" si="2"/>
        <v>11638750</v>
      </c>
      <c r="M27" s="217">
        <f t="shared" si="0"/>
        <v>93110000</v>
      </c>
    </row>
    <row r="28" spans="1:13" x14ac:dyDescent="0.2">
      <c r="A28" s="152">
        <v>2.1</v>
      </c>
      <c r="B28" s="156" t="s">
        <v>71</v>
      </c>
      <c r="C28" s="154">
        <v>8</v>
      </c>
      <c r="D28" s="154" t="s">
        <v>145</v>
      </c>
      <c r="E28" s="156" t="s">
        <v>72</v>
      </c>
      <c r="F28" s="181">
        <v>13200000</v>
      </c>
      <c r="G28" s="181">
        <f t="shared" si="1"/>
        <v>105600000</v>
      </c>
      <c r="H28" s="217">
        <f>+'C01_INICIAL'!F28</f>
        <v>13200000</v>
      </c>
      <c r="I28" s="217">
        <f>+'CO2'!F28</f>
        <v>15080000</v>
      </c>
      <c r="J28" s="217">
        <f>+'CO3'!F28</f>
        <v>17325000</v>
      </c>
      <c r="K28" s="217">
        <f>+'CO4'!F28</f>
        <v>950000</v>
      </c>
      <c r="L28" s="217">
        <f t="shared" si="2"/>
        <v>11638750</v>
      </c>
      <c r="M28" s="217">
        <f t="shared" si="0"/>
        <v>93110000</v>
      </c>
    </row>
    <row r="29" spans="1:13" x14ac:dyDescent="0.2">
      <c r="A29" s="152">
        <v>2.1</v>
      </c>
      <c r="B29" s="157" t="s">
        <v>73</v>
      </c>
      <c r="C29" s="151">
        <v>8</v>
      </c>
      <c r="D29" s="151" t="s">
        <v>75</v>
      </c>
      <c r="E29" s="162" t="s">
        <v>74</v>
      </c>
      <c r="F29" s="181">
        <v>700000</v>
      </c>
      <c r="G29" s="181">
        <f t="shared" si="1"/>
        <v>5600000</v>
      </c>
      <c r="H29" s="217">
        <f>+'C01_INICIAL'!F29</f>
        <v>700000</v>
      </c>
      <c r="I29" s="217">
        <f>+'CO2'!F29</f>
        <v>712530</v>
      </c>
      <c r="J29" s="217">
        <f>+'CO3'!F29</f>
        <v>535500</v>
      </c>
      <c r="K29" s="217">
        <f>+'CO4'!F29</f>
        <v>105000</v>
      </c>
      <c r="L29" s="217">
        <f t="shared" si="2"/>
        <v>513257.5</v>
      </c>
      <c r="M29" s="217">
        <f t="shared" si="0"/>
        <v>4106060</v>
      </c>
    </row>
    <row r="30" spans="1:13" x14ac:dyDescent="0.2">
      <c r="A30" s="143"/>
      <c r="B30" s="142" t="s">
        <v>177</v>
      </c>
      <c r="C30" s="144"/>
      <c r="D30" s="142"/>
      <c r="E30" s="145"/>
      <c r="F30" s="180"/>
      <c r="G30" s="180"/>
      <c r="H30" s="217">
        <f>+'C01_INICIAL'!F30</f>
        <v>0</v>
      </c>
      <c r="I30" s="217">
        <f>+'CO2'!F30</f>
        <v>0</v>
      </c>
      <c r="J30" s="217">
        <f>+'CO3'!F30</f>
        <v>0</v>
      </c>
      <c r="K30" s="217">
        <f>+'CO4'!F30</f>
        <v>0</v>
      </c>
      <c r="L30" s="217">
        <f t="shared" si="2"/>
        <v>0</v>
      </c>
      <c r="M30" s="217">
        <f t="shared" si="0"/>
        <v>0</v>
      </c>
    </row>
    <row r="31" spans="1:13" x14ac:dyDescent="0.2">
      <c r="A31" s="158">
        <v>1</v>
      </c>
      <c r="B31" s="156" t="s">
        <v>78</v>
      </c>
      <c r="C31" s="151">
        <v>1</v>
      </c>
      <c r="D31" s="159" t="s">
        <v>77</v>
      </c>
      <c r="E31" s="162"/>
      <c r="F31" s="181">
        <v>650000</v>
      </c>
      <c r="G31" s="181">
        <f t="shared" si="1"/>
        <v>650000</v>
      </c>
      <c r="H31" s="217">
        <f>+'C01_INICIAL'!F31</f>
        <v>650000</v>
      </c>
      <c r="I31" s="217">
        <f>+'CO2'!F31</f>
        <v>1000000</v>
      </c>
      <c r="J31" s="217">
        <f>+'CO3'!F31</f>
        <v>796700</v>
      </c>
      <c r="K31" s="217">
        <f>+'CO4'!F31</f>
        <v>65650</v>
      </c>
      <c r="L31" s="217">
        <f t="shared" si="2"/>
        <v>628087.5</v>
      </c>
      <c r="M31" s="217">
        <f t="shared" si="0"/>
        <v>628087.5</v>
      </c>
    </row>
    <row r="32" spans="1:13" x14ac:dyDescent="0.2">
      <c r="A32" s="158">
        <f t="shared" ref="A32:A67" si="3">+A31+1</f>
        <v>2</v>
      </c>
      <c r="B32" s="156" t="s">
        <v>79</v>
      </c>
      <c r="C32" s="160">
        <v>30000</v>
      </c>
      <c r="D32" s="159" t="s">
        <v>77</v>
      </c>
      <c r="E32" s="162"/>
      <c r="F32" s="181">
        <v>1300</v>
      </c>
      <c r="G32" s="181">
        <f>+F32*C32</f>
        <v>39000000</v>
      </c>
      <c r="H32" s="217">
        <f>+'C01_INICIAL'!F32</f>
        <v>1300</v>
      </c>
      <c r="I32" s="217">
        <f>+'CO2'!F32</f>
        <v>500</v>
      </c>
      <c r="J32" s="217">
        <f>+'CO3'!F32</f>
        <v>134.6</v>
      </c>
      <c r="K32" s="217">
        <f>+'CO4'!F32</f>
        <v>137</v>
      </c>
      <c r="L32" s="217">
        <f t="shared" si="2"/>
        <v>517.9</v>
      </c>
      <c r="M32" s="217">
        <f t="shared" si="0"/>
        <v>15537000</v>
      </c>
    </row>
    <row r="33" spans="1:13" x14ac:dyDescent="0.2">
      <c r="A33" s="158">
        <f t="shared" si="3"/>
        <v>3</v>
      </c>
      <c r="B33" s="156" t="s">
        <v>80</v>
      </c>
      <c r="C33" s="151">
        <v>1</v>
      </c>
      <c r="D33" s="159" t="s">
        <v>77</v>
      </c>
      <c r="E33" s="162"/>
      <c r="F33" s="181">
        <v>2100000</v>
      </c>
      <c r="G33" s="181">
        <f t="shared" si="1"/>
        <v>2100000</v>
      </c>
      <c r="H33" s="217">
        <f>+'C01_INICIAL'!F33</f>
        <v>2100000</v>
      </c>
      <c r="I33" s="217">
        <f>+'CO2'!F33</f>
        <v>3137041.7812455939</v>
      </c>
      <c r="J33" s="217">
        <f>+'CO3'!F33</f>
        <v>1849483</v>
      </c>
      <c r="K33" s="217">
        <f>+'CO4'!F33</f>
        <v>814000</v>
      </c>
      <c r="L33" s="217">
        <f t="shared" si="2"/>
        <v>1975131.1953113985</v>
      </c>
      <c r="M33" s="217">
        <f t="shared" si="0"/>
        <v>1975131.1953113985</v>
      </c>
    </row>
    <row r="34" spans="1:13" x14ac:dyDescent="0.2">
      <c r="A34" s="158">
        <f t="shared" si="3"/>
        <v>4</v>
      </c>
      <c r="B34" s="156" t="s">
        <v>81</v>
      </c>
      <c r="C34" s="151">
        <v>2</v>
      </c>
      <c r="D34" s="159" t="s">
        <v>77</v>
      </c>
      <c r="E34" s="162"/>
      <c r="F34" s="181">
        <v>1500000</v>
      </c>
      <c r="G34" s="181">
        <f t="shared" si="1"/>
        <v>3000000</v>
      </c>
      <c r="H34" s="217">
        <f>+'C01_INICIAL'!F34</f>
        <v>1500000</v>
      </c>
      <c r="I34" s="217">
        <f>+'CO2'!F34</f>
        <v>2100080.58801674</v>
      </c>
      <c r="J34" s="217">
        <f>+'CO3'!F34</f>
        <v>1223504</v>
      </c>
      <c r="K34" s="217">
        <f>+'CO4'!F34</f>
        <v>570500</v>
      </c>
      <c r="L34" s="217">
        <f t="shared" si="2"/>
        <v>1348521.147004185</v>
      </c>
      <c r="M34" s="217">
        <f t="shared" si="0"/>
        <v>2697042.29400837</v>
      </c>
    </row>
    <row r="35" spans="1:13" x14ac:dyDescent="0.2">
      <c r="A35" s="158">
        <f t="shared" si="3"/>
        <v>5</v>
      </c>
      <c r="B35" s="156" t="s">
        <v>82</v>
      </c>
      <c r="C35" s="151">
        <v>4</v>
      </c>
      <c r="D35" s="159" t="s">
        <v>77</v>
      </c>
      <c r="E35" s="162"/>
      <c r="F35" s="181">
        <v>1400000</v>
      </c>
      <c r="G35" s="181">
        <f t="shared" si="1"/>
        <v>5600000</v>
      </c>
      <c r="H35" s="217">
        <f>+'C01_INICIAL'!F35</f>
        <v>1400000</v>
      </c>
      <c r="I35" s="217">
        <f>+'CO2'!F35</f>
        <v>1431026.5575122754</v>
      </c>
      <c r="J35" s="217">
        <f>+'CO3'!F35</f>
        <v>910514</v>
      </c>
      <c r="K35" s="217">
        <f>+'CO4'!F35</f>
        <v>360000</v>
      </c>
      <c r="L35" s="217">
        <f t="shared" si="2"/>
        <v>1025385.1393780689</v>
      </c>
      <c r="M35" s="217">
        <f t="shared" si="0"/>
        <v>4101540.5575122754</v>
      </c>
    </row>
    <row r="36" spans="1:13" x14ac:dyDescent="0.2">
      <c r="A36" s="158">
        <f t="shared" si="3"/>
        <v>6</v>
      </c>
      <c r="B36" s="156" t="s">
        <v>137</v>
      </c>
      <c r="C36" s="151">
        <v>4</v>
      </c>
      <c r="D36" s="159" t="s">
        <v>77</v>
      </c>
      <c r="E36" s="162"/>
      <c r="F36" s="181">
        <v>600000</v>
      </c>
      <c r="G36" s="181">
        <f t="shared" si="1"/>
        <v>2400000</v>
      </c>
      <c r="H36" s="217">
        <f>+'C01_INICIAL'!F36</f>
        <v>600000</v>
      </c>
      <c r="I36" s="217">
        <f>+'CO2'!F36</f>
        <v>1805271.6337556478</v>
      </c>
      <c r="J36" s="217">
        <f>+'CO3'!F36</f>
        <v>1327835</v>
      </c>
      <c r="K36" s="217">
        <f>+'CO4'!F36</f>
        <v>328900</v>
      </c>
      <c r="L36" s="217">
        <f t="shared" si="2"/>
        <v>1015501.6584389119</v>
      </c>
      <c r="M36" s="217">
        <f t="shared" si="0"/>
        <v>4062006.6337556476</v>
      </c>
    </row>
    <row r="37" spans="1:13" x14ac:dyDescent="0.2">
      <c r="A37" s="158">
        <f t="shared" si="3"/>
        <v>7</v>
      </c>
      <c r="B37" s="156" t="s">
        <v>138</v>
      </c>
      <c r="C37" s="160">
        <v>40000</v>
      </c>
      <c r="D37" s="159" t="s">
        <v>77</v>
      </c>
      <c r="E37" s="162"/>
      <c r="F37" s="184">
        <v>310</v>
      </c>
      <c r="G37" s="181">
        <f t="shared" si="1"/>
        <v>12400000</v>
      </c>
      <c r="H37" s="217">
        <f>+'C01_INICIAL'!F37</f>
        <v>310</v>
      </c>
      <c r="I37" s="217">
        <f>+'CO2'!F37</f>
        <v>500</v>
      </c>
      <c r="J37" s="217">
        <f>+'CO3'!F37</f>
        <v>169.36</v>
      </c>
      <c r="K37" s="217">
        <f>+'CO4'!F37</f>
        <v>218</v>
      </c>
      <c r="L37" s="217">
        <f t="shared" si="2"/>
        <v>299.34000000000003</v>
      </c>
      <c r="M37" s="217">
        <f t="shared" si="0"/>
        <v>11973600.000000002</v>
      </c>
    </row>
    <row r="38" spans="1:13" x14ac:dyDescent="0.2">
      <c r="A38" s="158">
        <f t="shared" si="3"/>
        <v>8</v>
      </c>
      <c r="B38" s="156" t="s">
        <v>139</v>
      </c>
      <c r="C38" s="151">
        <v>2</v>
      </c>
      <c r="D38" s="159" t="s">
        <v>77</v>
      </c>
      <c r="E38" s="162"/>
      <c r="F38" s="181">
        <v>900000</v>
      </c>
      <c r="G38" s="181">
        <f t="shared" si="1"/>
        <v>1800000</v>
      </c>
      <c r="H38" s="217">
        <f>+'C01_INICIAL'!F38</f>
        <v>900000</v>
      </c>
      <c r="I38" s="217">
        <f>+'CO2'!F38</f>
        <v>2692549.5890610791</v>
      </c>
      <c r="J38" s="217">
        <f>+'CO3'!F38</f>
        <v>1991753</v>
      </c>
      <c r="K38" s="217">
        <f>+'CO4'!F38</f>
        <v>575900</v>
      </c>
      <c r="L38" s="217">
        <f t="shared" si="2"/>
        <v>1540050.6472652699</v>
      </c>
      <c r="M38" s="217">
        <f t="shared" si="0"/>
        <v>3080101.2945305398</v>
      </c>
    </row>
    <row r="39" spans="1:13" x14ac:dyDescent="0.2">
      <c r="A39" s="158">
        <f t="shared" si="3"/>
        <v>9</v>
      </c>
      <c r="B39" s="156" t="s">
        <v>140</v>
      </c>
      <c r="C39" s="160">
        <v>20000</v>
      </c>
      <c r="D39" s="159" t="s">
        <v>77</v>
      </c>
      <c r="E39" s="162"/>
      <c r="F39" s="184">
        <v>360</v>
      </c>
      <c r="G39" s="181">
        <f t="shared" si="1"/>
        <v>7200000</v>
      </c>
      <c r="H39" s="217">
        <f>+'C01_INICIAL'!F39</f>
        <v>360</v>
      </c>
      <c r="I39" s="217">
        <f>+'CO2'!F39</f>
        <v>416</v>
      </c>
      <c r="J39" s="217">
        <f>+'CO3'!F39</f>
        <v>563.76</v>
      </c>
      <c r="K39" s="217">
        <f>+'CO4'!F39</f>
        <v>267</v>
      </c>
      <c r="L39" s="217">
        <f t="shared" si="2"/>
        <v>401.69</v>
      </c>
      <c r="M39" s="217">
        <f t="shared" si="0"/>
        <v>8033800</v>
      </c>
    </row>
    <row r="40" spans="1:13" x14ac:dyDescent="0.2">
      <c r="A40" s="158">
        <f t="shared" si="3"/>
        <v>10</v>
      </c>
      <c r="B40" s="156" t="s">
        <v>141</v>
      </c>
      <c r="C40" s="151">
        <v>2</v>
      </c>
      <c r="D40" s="159" t="s">
        <v>77</v>
      </c>
      <c r="E40" s="162"/>
      <c r="F40" s="181">
        <v>1200000</v>
      </c>
      <c r="G40" s="181">
        <f t="shared" si="1"/>
        <v>2400000</v>
      </c>
      <c r="H40" s="217">
        <f>+'C01_INICIAL'!F40</f>
        <v>1200000</v>
      </c>
      <c r="I40" s="217">
        <f>+'CO2'!F40</f>
        <v>3197182.3993580537</v>
      </c>
      <c r="J40" s="217">
        <f>+'CO3'!F40</f>
        <v>2655671</v>
      </c>
      <c r="K40" s="217">
        <f>+'CO4'!F40</f>
        <v>850000</v>
      </c>
      <c r="L40" s="217">
        <f t="shared" si="2"/>
        <v>1975713.3498395134</v>
      </c>
      <c r="M40" s="217">
        <f t="shared" si="0"/>
        <v>3951426.6996790268</v>
      </c>
    </row>
    <row r="41" spans="1:13" x14ac:dyDescent="0.2">
      <c r="A41" s="158">
        <f t="shared" si="3"/>
        <v>11</v>
      </c>
      <c r="B41" s="156" t="s">
        <v>142</v>
      </c>
      <c r="C41" s="160">
        <v>20000</v>
      </c>
      <c r="D41" s="159" t="s">
        <v>77</v>
      </c>
      <c r="E41" s="162"/>
      <c r="F41" s="184">
        <v>360</v>
      </c>
      <c r="G41" s="181">
        <f t="shared" si="1"/>
        <v>7200000</v>
      </c>
      <c r="H41" s="217">
        <f>+'C01_INICIAL'!F41</f>
        <v>360</v>
      </c>
      <c r="I41" s="217">
        <f>+'CO2'!F41</f>
        <v>455</v>
      </c>
      <c r="J41" s="217">
        <f>+'CO3'!F41</f>
        <v>350.32</v>
      </c>
      <c r="K41" s="217">
        <f>+'CO4'!F41</f>
        <v>270</v>
      </c>
      <c r="L41" s="217">
        <f t="shared" si="2"/>
        <v>358.83</v>
      </c>
      <c r="M41" s="217">
        <f t="shared" si="0"/>
        <v>7176600</v>
      </c>
    </row>
    <row r="42" spans="1:13" x14ac:dyDescent="0.2">
      <c r="A42" s="158">
        <f t="shared" si="3"/>
        <v>12</v>
      </c>
      <c r="B42" s="156" t="s">
        <v>133</v>
      </c>
      <c r="C42" s="160">
        <v>5000</v>
      </c>
      <c r="D42" s="159" t="s">
        <v>77</v>
      </c>
      <c r="E42" s="162"/>
      <c r="F42" s="181">
        <v>3500</v>
      </c>
      <c r="G42" s="181">
        <f t="shared" si="1"/>
        <v>17500000</v>
      </c>
      <c r="H42" s="217">
        <f>+'C01_INICIAL'!F42</f>
        <v>3500</v>
      </c>
      <c r="I42" s="217">
        <f>+'CO2'!F42</f>
        <v>2340</v>
      </c>
      <c r="J42" s="217">
        <f>+'CO3'!F42</f>
        <v>1102</v>
      </c>
      <c r="K42" s="217">
        <f>+'CO4'!F42</f>
        <v>1160</v>
      </c>
      <c r="L42" s="217">
        <f t="shared" si="2"/>
        <v>2025.5</v>
      </c>
      <c r="M42" s="217">
        <f t="shared" si="0"/>
        <v>10127500</v>
      </c>
    </row>
    <row r="43" spans="1:13" ht="28.5" customHeight="1" x14ac:dyDescent="0.2">
      <c r="A43" s="158">
        <f t="shared" si="3"/>
        <v>13</v>
      </c>
      <c r="B43" s="156" t="s">
        <v>188</v>
      </c>
      <c r="C43" s="160">
        <v>5000</v>
      </c>
      <c r="D43" s="159" t="s">
        <v>77</v>
      </c>
      <c r="E43" s="162"/>
      <c r="F43" s="181">
        <v>1800</v>
      </c>
      <c r="G43" s="181">
        <f t="shared" si="1"/>
        <v>9000000</v>
      </c>
      <c r="H43" s="217">
        <f>+'C01_INICIAL'!F43</f>
        <v>1800</v>
      </c>
      <c r="I43" s="217">
        <f>+'CO2'!F43</f>
        <v>1950</v>
      </c>
      <c r="J43" s="217">
        <f>+'CO3'!F43</f>
        <v>643886</v>
      </c>
      <c r="K43" s="217">
        <f>+'CO4'!F43</f>
        <v>147500</v>
      </c>
      <c r="L43" s="217">
        <f t="shared" si="2"/>
        <v>198784</v>
      </c>
      <c r="M43" s="217">
        <f t="shared" si="0"/>
        <v>993920000</v>
      </c>
    </row>
    <row r="44" spans="1:13" x14ac:dyDescent="0.2">
      <c r="A44" s="158">
        <f t="shared" si="3"/>
        <v>14</v>
      </c>
      <c r="B44" s="156" t="s">
        <v>124</v>
      </c>
      <c r="C44" s="160">
        <v>1</v>
      </c>
      <c r="D44" s="159" t="s">
        <v>77</v>
      </c>
      <c r="E44" s="162"/>
      <c r="F44" s="181">
        <v>800000</v>
      </c>
      <c r="G44" s="181">
        <f t="shared" si="1"/>
        <v>800000</v>
      </c>
      <c r="H44" s="217">
        <f>+'C01_INICIAL'!F44</f>
        <v>800000</v>
      </c>
      <c r="I44" s="217">
        <f>+'CO2'!F44</f>
        <v>2044326.6724816032</v>
      </c>
      <c r="J44" s="217">
        <f>+'CO3'!F44</f>
        <v>368000</v>
      </c>
      <c r="K44" s="217">
        <f>+'CO4'!F44</f>
        <v>226900</v>
      </c>
      <c r="L44" s="217">
        <f t="shared" si="2"/>
        <v>859806.66812040075</v>
      </c>
      <c r="M44" s="217">
        <f t="shared" ref="M44:M75" si="4">+L44*C44</f>
        <v>859806.66812040075</v>
      </c>
    </row>
    <row r="45" spans="1:13" x14ac:dyDescent="0.2">
      <c r="A45" s="158">
        <f t="shared" si="3"/>
        <v>15</v>
      </c>
      <c r="B45" s="161" t="s">
        <v>125</v>
      </c>
      <c r="C45" s="160">
        <v>5000</v>
      </c>
      <c r="D45" s="159" t="s">
        <v>77</v>
      </c>
      <c r="E45" s="162"/>
      <c r="F45" s="181">
        <v>5400</v>
      </c>
      <c r="G45" s="181">
        <f t="shared" si="1"/>
        <v>27000000</v>
      </c>
      <c r="H45" s="217">
        <f>+'C01_INICIAL'!F45</f>
        <v>5400</v>
      </c>
      <c r="I45" s="217">
        <f>+'CO2'!F45</f>
        <v>6500</v>
      </c>
      <c r="J45" s="217">
        <f>+'CO3'!F45</f>
        <v>13200</v>
      </c>
      <c r="K45" s="217">
        <f>+'CO4'!F45</f>
        <v>12700</v>
      </c>
      <c r="L45" s="217">
        <f t="shared" si="2"/>
        <v>9450</v>
      </c>
      <c r="M45" s="217">
        <f t="shared" si="4"/>
        <v>47250000</v>
      </c>
    </row>
    <row r="46" spans="1:13" x14ac:dyDescent="0.2">
      <c r="A46" s="158">
        <f t="shared" si="3"/>
        <v>16</v>
      </c>
      <c r="B46" s="161" t="s">
        <v>126</v>
      </c>
      <c r="C46" s="151">
        <v>1</v>
      </c>
      <c r="D46" s="159" t="s">
        <v>77</v>
      </c>
      <c r="E46" s="162"/>
      <c r="F46" s="181">
        <v>775000</v>
      </c>
      <c r="G46" s="181">
        <f t="shared" si="1"/>
        <v>775000</v>
      </c>
      <c r="H46" s="217">
        <f>+'C01_INICIAL'!F46</f>
        <v>775000</v>
      </c>
      <c r="I46" s="217">
        <f>+'CO2'!F46</f>
        <v>895167.3280659311</v>
      </c>
      <c r="J46" s="217">
        <f>+'CO3'!F46</f>
        <v>5121648</v>
      </c>
      <c r="K46" s="217">
        <f>+'CO4'!F46</f>
        <v>415090</v>
      </c>
      <c r="L46" s="217">
        <f t="shared" si="2"/>
        <v>1801726.3320164827</v>
      </c>
      <c r="M46" s="217">
        <f t="shared" si="4"/>
        <v>1801726.3320164827</v>
      </c>
    </row>
    <row r="47" spans="1:13" x14ac:dyDescent="0.2">
      <c r="A47" s="158">
        <f t="shared" si="3"/>
        <v>17</v>
      </c>
      <c r="B47" s="161" t="s">
        <v>134</v>
      </c>
      <c r="C47" s="160">
        <v>5000</v>
      </c>
      <c r="D47" s="159" t="s">
        <v>77</v>
      </c>
      <c r="E47" s="162"/>
      <c r="F47" s="181">
        <v>4000</v>
      </c>
      <c r="G47" s="181">
        <f t="shared" si="1"/>
        <v>20000000</v>
      </c>
      <c r="H47" s="217">
        <f>+'C01_INICIAL'!F47</f>
        <v>4000</v>
      </c>
      <c r="I47" s="217">
        <f>+'CO2'!F47</f>
        <v>234</v>
      </c>
      <c r="J47" s="217">
        <f>+'CO3'!F47</f>
        <v>2062.5</v>
      </c>
      <c r="K47" s="217">
        <f>+'CO4'!F47</f>
        <v>11050</v>
      </c>
      <c r="L47" s="217">
        <f t="shared" si="2"/>
        <v>4336.625</v>
      </c>
      <c r="M47" s="217">
        <f t="shared" si="4"/>
        <v>21683125</v>
      </c>
    </row>
    <row r="48" spans="1:13" x14ac:dyDescent="0.2">
      <c r="A48" s="158">
        <f t="shared" si="3"/>
        <v>18</v>
      </c>
      <c r="B48" s="156" t="s">
        <v>83</v>
      </c>
      <c r="C48" s="151">
        <v>5</v>
      </c>
      <c r="D48" s="159" t="s">
        <v>77</v>
      </c>
      <c r="E48" s="162"/>
      <c r="F48" s="181">
        <v>650000</v>
      </c>
      <c r="G48" s="181">
        <f t="shared" si="1"/>
        <v>3250000</v>
      </c>
      <c r="H48" s="217">
        <f>+'C01_INICIAL'!F48</f>
        <v>650000</v>
      </c>
      <c r="I48" s="217">
        <f>+'CO2'!F48</f>
        <v>1198615.8499080529</v>
      </c>
      <c r="J48" s="217">
        <f>+'CO3'!F48</f>
        <v>466639</v>
      </c>
      <c r="K48" s="217">
        <f>+'CO4'!F48</f>
        <v>355000</v>
      </c>
      <c r="L48" s="217">
        <f t="shared" si="2"/>
        <v>667563.71247701324</v>
      </c>
      <c r="M48" s="217">
        <f t="shared" si="4"/>
        <v>3337818.5623850664</v>
      </c>
    </row>
    <row r="49" spans="1:13" ht="25.5" x14ac:dyDescent="0.2">
      <c r="A49" s="158">
        <f t="shared" si="3"/>
        <v>19</v>
      </c>
      <c r="B49" s="156" t="s">
        <v>135</v>
      </c>
      <c r="C49" s="148">
        <v>40</v>
      </c>
      <c r="D49" s="159" t="s">
        <v>77</v>
      </c>
      <c r="E49" s="162" t="s">
        <v>156</v>
      </c>
      <c r="F49" s="181">
        <v>290000</v>
      </c>
      <c r="G49" s="181">
        <f t="shared" si="1"/>
        <v>11600000</v>
      </c>
      <c r="H49" s="217">
        <f>+'C01_INICIAL'!F49</f>
        <v>290000</v>
      </c>
      <c r="I49" s="217">
        <f>+'CO2'!F49</f>
        <v>261300</v>
      </c>
      <c r="J49" s="217">
        <f>+'CO3'!F49</f>
        <v>191400</v>
      </c>
      <c r="K49" s="217">
        <f>+'CO4'!F49</f>
        <v>252000</v>
      </c>
      <c r="L49" s="217">
        <f t="shared" si="2"/>
        <v>248675</v>
      </c>
      <c r="M49" s="217">
        <f t="shared" si="4"/>
        <v>9947000</v>
      </c>
    </row>
    <row r="50" spans="1:13" x14ac:dyDescent="0.2">
      <c r="A50" s="158">
        <f t="shared" si="3"/>
        <v>20</v>
      </c>
      <c r="B50" s="156" t="s">
        <v>84</v>
      </c>
      <c r="C50" s="151">
        <v>1</v>
      </c>
      <c r="D50" s="159" t="s">
        <v>77</v>
      </c>
      <c r="E50" s="162"/>
      <c r="F50" s="181">
        <v>650000</v>
      </c>
      <c r="G50" s="181">
        <f t="shared" si="1"/>
        <v>650000</v>
      </c>
      <c r="H50" s="217">
        <f>+'C01_INICIAL'!F50</f>
        <v>650000</v>
      </c>
      <c r="I50" s="217">
        <f>+'CO2'!F50</f>
        <v>2720310.3194620861</v>
      </c>
      <c r="J50" s="217">
        <f>+'CO3'!F50</f>
        <v>466639</v>
      </c>
      <c r="K50" s="217">
        <f>+'CO4'!F50</f>
        <v>161995</v>
      </c>
      <c r="L50" s="217">
        <f t="shared" si="2"/>
        <v>999736.07986552152</v>
      </c>
      <c r="M50" s="217">
        <f t="shared" si="4"/>
        <v>999736.07986552152</v>
      </c>
    </row>
    <row r="51" spans="1:13" ht="25.5" x14ac:dyDescent="0.2">
      <c r="A51" s="158">
        <f t="shared" si="3"/>
        <v>21</v>
      </c>
      <c r="B51" s="156" t="s">
        <v>85</v>
      </c>
      <c r="C51" s="151">
        <v>2</v>
      </c>
      <c r="D51" s="159" t="s">
        <v>77</v>
      </c>
      <c r="E51" s="162" t="s">
        <v>156</v>
      </c>
      <c r="F51" s="181">
        <v>390000</v>
      </c>
      <c r="G51" s="181">
        <f t="shared" si="1"/>
        <v>780000</v>
      </c>
      <c r="H51" s="217">
        <f>+'C01_INICIAL'!F51</f>
        <v>390000</v>
      </c>
      <c r="I51" s="217">
        <f>+'CO2'!F51</f>
        <v>728000</v>
      </c>
      <c r="J51" s="217">
        <f>+'CO3'!F51</f>
        <v>425000</v>
      </c>
      <c r="K51" s="217">
        <f>+'CO4'!F51</f>
        <v>973000</v>
      </c>
      <c r="L51" s="217">
        <f t="shared" si="2"/>
        <v>629000</v>
      </c>
      <c r="M51" s="217">
        <f t="shared" si="4"/>
        <v>1258000</v>
      </c>
    </row>
    <row r="52" spans="1:13" x14ac:dyDescent="0.2">
      <c r="A52" s="158">
        <f t="shared" si="3"/>
        <v>22</v>
      </c>
      <c r="B52" s="156" t="s">
        <v>86</v>
      </c>
      <c r="C52" s="151">
        <v>1</v>
      </c>
      <c r="D52" s="159" t="s">
        <v>77</v>
      </c>
      <c r="E52" s="162"/>
      <c r="F52" s="181">
        <v>730000</v>
      </c>
      <c r="G52" s="181">
        <f t="shared" si="1"/>
        <v>730000</v>
      </c>
      <c r="H52" s="217">
        <f>+'C01_INICIAL'!F52</f>
        <v>730000</v>
      </c>
      <c r="I52" s="217">
        <f>+'CO2'!F52</f>
        <v>2305292.3308249991</v>
      </c>
      <c r="J52" s="217">
        <f>+'CO3'!F52</f>
        <v>466639</v>
      </c>
      <c r="K52" s="217">
        <f>+'CO4'!F52</f>
        <v>511980</v>
      </c>
      <c r="L52" s="217">
        <f t="shared" si="2"/>
        <v>1003477.8327062498</v>
      </c>
      <c r="M52" s="217">
        <f t="shared" si="4"/>
        <v>1003477.8327062498</v>
      </c>
    </row>
    <row r="53" spans="1:13" ht="38.25" x14ac:dyDescent="0.2">
      <c r="A53" s="158">
        <f t="shared" si="3"/>
        <v>23</v>
      </c>
      <c r="B53" s="156" t="s">
        <v>87</v>
      </c>
      <c r="C53" s="151">
        <v>1</v>
      </c>
      <c r="D53" s="159" t="s">
        <v>77</v>
      </c>
      <c r="E53" s="162" t="s">
        <v>157</v>
      </c>
      <c r="F53" s="181">
        <v>280000</v>
      </c>
      <c r="G53" s="181">
        <f t="shared" si="1"/>
        <v>280000</v>
      </c>
      <c r="H53" s="217">
        <f>+'C01_INICIAL'!F53</f>
        <v>280000</v>
      </c>
      <c r="I53" s="217">
        <f>+'CO2'!F53</f>
        <v>624000</v>
      </c>
      <c r="J53" s="217">
        <f>+'CO3'!F53</f>
        <v>87000</v>
      </c>
      <c r="K53" s="217">
        <f>+'CO4'!F53</f>
        <v>1540000</v>
      </c>
      <c r="L53" s="217">
        <f t="shared" si="2"/>
        <v>632750</v>
      </c>
      <c r="M53" s="217">
        <f t="shared" si="4"/>
        <v>632750</v>
      </c>
    </row>
    <row r="54" spans="1:13" x14ac:dyDescent="0.2">
      <c r="A54" s="158">
        <f t="shared" si="3"/>
        <v>24</v>
      </c>
      <c r="B54" s="156" t="s">
        <v>88</v>
      </c>
      <c r="C54" s="151">
        <v>1</v>
      </c>
      <c r="D54" s="159" t="s">
        <v>77</v>
      </c>
      <c r="E54" s="162"/>
      <c r="F54" s="181">
        <v>730000</v>
      </c>
      <c r="G54" s="181">
        <f t="shared" si="1"/>
        <v>730000</v>
      </c>
      <c r="H54" s="217">
        <f>+'C01_INICIAL'!F54</f>
        <v>730000</v>
      </c>
      <c r="I54" s="217">
        <f>+'CO2'!F54</f>
        <v>2305292.3308249991</v>
      </c>
      <c r="J54" s="217">
        <f>+'CO3'!F54</f>
        <v>466639</v>
      </c>
      <c r="K54" s="217">
        <f>+'CO4'!F54</f>
        <v>511980</v>
      </c>
      <c r="L54" s="217">
        <f t="shared" si="2"/>
        <v>1003477.8327062498</v>
      </c>
      <c r="M54" s="217">
        <f t="shared" si="4"/>
        <v>1003477.8327062498</v>
      </c>
    </row>
    <row r="55" spans="1:13" ht="38.25" x14ac:dyDescent="0.2">
      <c r="A55" s="158">
        <f t="shared" si="3"/>
        <v>25</v>
      </c>
      <c r="B55" s="156" t="s">
        <v>89</v>
      </c>
      <c r="C55" s="151">
        <v>2</v>
      </c>
      <c r="D55" s="159" t="s">
        <v>77</v>
      </c>
      <c r="E55" s="162" t="s">
        <v>157</v>
      </c>
      <c r="F55" s="181">
        <v>540000</v>
      </c>
      <c r="G55" s="181">
        <f t="shared" si="1"/>
        <v>1080000</v>
      </c>
      <c r="H55" s="217">
        <f>+'C01_INICIAL'!F55</f>
        <v>540000</v>
      </c>
      <c r="I55" s="217">
        <f>+'CO2'!F55</f>
        <v>874640</v>
      </c>
      <c r="J55" s="217">
        <f>+'CO3'!F55</f>
        <v>174000</v>
      </c>
      <c r="K55" s="217">
        <f>+'CO4'!F55</f>
        <v>1750000</v>
      </c>
      <c r="L55" s="217">
        <f t="shared" si="2"/>
        <v>834660</v>
      </c>
      <c r="M55" s="217">
        <f t="shared" si="4"/>
        <v>1669320</v>
      </c>
    </row>
    <row r="56" spans="1:13" x14ac:dyDescent="0.2">
      <c r="A56" s="158">
        <f>+A55+1</f>
        <v>26</v>
      </c>
      <c r="B56" s="156" t="s">
        <v>90</v>
      </c>
      <c r="C56" s="151">
        <v>1</v>
      </c>
      <c r="D56" s="159" t="s">
        <v>77</v>
      </c>
      <c r="E56" s="162"/>
      <c r="F56" s="181">
        <v>790000</v>
      </c>
      <c r="G56" s="181">
        <f t="shared" si="1"/>
        <v>790000</v>
      </c>
      <c r="H56" s="217">
        <f>+'C01_INICIAL'!F56</f>
        <v>790000</v>
      </c>
      <c r="I56" s="217">
        <f>+'CO2'!F56</f>
        <v>2305292.3308249991</v>
      </c>
      <c r="J56" s="217">
        <f>+'CO3'!F56</f>
        <v>1079340</v>
      </c>
      <c r="K56" s="217">
        <f>+'CO4'!F56</f>
        <v>675780</v>
      </c>
      <c r="L56" s="217">
        <f t="shared" si="2"/>
        <v>1212603.0827062498</v>
      </c>
      <c r="M56" s="217">
        <f t="shared" si="4"/>
        <v>1212603.0827062498</v>
      </c>
    </row>
    <row r="57" spans="1:13" ht="38.25" x14ac:dyDescent="0.2">
      <c r="A57" s="158">
        <f t="shared" si="3"/>
        <v>27</v>
      </c>
      <c r="B57" s="156" t="s">
        <v>91</v>
      </c>
      <c r="C57" s="151">
        <v>2</v>
      </c>
      <c r="D57" s="159" t="s">
        <v>77</v>
      </c>
      <c r="E57" s="162" t="s">
        <v>157</v>
      </c>
      <c r="F57" s="181" t="s">
        <v>190</v>
      </c>
      <c r="G57" s="181" t="s">
        <v>190</v>
      </c>
      <c r="H57" s="217" t="str">
        <f>+'C01_INICIAL'!F57</f>
        <v>N/A</v>
      </c>
      <c r="I57" s="217">
        <f>+'CO2'!F57</f>
        <v>1216800</v>
      </c>
      <c r="J57" s="217">
        <f>+'CO3'!F57</f>
        <v>261000</v>
      </c>
      <c r="K57" s="217">
        <f>+'CO4'!F57</f>
        <v>2380000</v>
      </c>
      <c r="L57" s="217">
        <f t="shared" si="2"/>
        <v>1285933.3333333333</v>
      </c>
      <c r="M57" s="217">
        <f t="shared" si="4"/>
        <v>2571866.6666666665</v>
      </c>
    </row>
    <row r="58" spans="1:13" x14ac:dyDescent="0.2">
      <c r="A58" s="158">
        <f t="shared" si="3"/>
        <v>28</v>
      </c>
      <c r="B58" s="156" t="s">
        <v>92</v>
      </c>
      <c r="C58" s="151">
        <v>1</v>
      </c>
      <c r="D58" s="159" t="s">
        <v>77</v>
      </c>
      <c r="E58" s="162"/>
      <c r="F58" s="181">
        <v>920000</v>
      </c>
      <c r="G58" s="181">
        <f t="shared" si="1"/>
        <v>920000</v>
      </c>
      <c r="H58" s="217">
        <f>+'C01_INICIAL'!F58</f>
        <v>920000</v>
      </c>
      <c r="I58" s="217">
        <f>+'CO2'!F58</f>
        <v>2305292.3308249991</v>
      </c>
      <c r="J58" s="217">
        <f>+'CO3'!F58</f>
        <v>1079340</v>
      </c>
      <c r="K58" s="217">
        <f>+'CO4'!F58</f>
        <v>675780</v>
      </c>
      <c r="L58" s="217">
        <f t="shared" si="2"/>
        <v>1245103.0827062498</v>
      </c>
      <c r="M58" s="217">
        <f t="shared" si="4"/>
        <v>1245103.0827062498</v>
      </c>
    </row>
    <row r="59" spans="1:13" ht="38.25" x14ac:dyDescent="0.2">
      <c r="A59" s="158">
        <f t="shared" si="3"/>
        <v>29</v>
      </c>
      <c r="B59" s="156" t="s">
        <v>93</v>
      </c>
      <c r="C59" s="151">
        <v>1</v>
      </c>
      <c r="D59" s="159" t="s">
        <v>77</v>
      </c>
      <c r="E59" s="162" t="s">
        <v>157</v>
      </c>
      <c r="F59" s="181" t="s">
        <v>190</v>
      </c>
      <c r="G59" s="181" t="s">
        <v>190</v>
      </c>
      <c r="H59" s="217" t="str">
        <f>+'C01_INICIAL'!F59</f>
        <v>N/A</v>
      </c>
      <c r="I59" s="217">
        <f>+'CO2'!F59</f>
        <v>874640</v>
      </c>
      <c r="J59" s="217">
        <f>+'CO3'!F59</f>
        <v>174000</v>
      </c>
      <c r="K59" s="217">
        <f>+'CO4'!F59</f>
        <v>4480000</v>
      </c>
      <c r="L59" s="217">
        <f t="shared" si="2"/>
        <v>1842880</v>
      </c>
      <c r="M59" s="217">
        <f t="shared" si="4"/>
        <v>1842880</v>
      </c>
    </row>
    <row r="60" spans="1:13" x14ac:dyDescent="0.2">
      <c r="A60" s="158">
        <f t="shared" si="3"/>
        <v>30</v>
      </c>
      <c r="B60" s="156" t="s">
        <v>94</v>
      </c>
      <c r="C60" s="151">
        <v>1</v>
      </c>
      <c r="D60" s="159" t="s">
        <v>77</v>
      </c>
      <c r="E60" s="162"/>
      <c r="F60" s="181">
        <v>920000</v>
      </c>
      <c r="G60" s="181">
        <f t="shared" si="1"/>
        <v>920000</v>
      </c>
      <c r="H60" s="217">
        <f>+'C01_INICIAL'!F60</f>
        <v>920000</v>
      </c>
      <c r="I60" s="217">
        <f>+'CO2'!F60</f>
        <v>2305292.3308249991</v>
      </c>
      <c r="J60" s="217">
        <f>+'CO3'!F60</f>
        <v>1079340</v>
      </c>
      <c r="K60" s="217">
        <f>+'CO4'!F60</f>
        <v>675780</v>
      </c>
      <c r="L60" s="217">
        <f t="shared" si="2"/>
        <v>1245103.0827062498</v>
      </c>
      <c r="M60" s="217">
        <f t="shared" si="4"/>
        <v>1245103.0827062498</v>
      </c>
    </row>
    <row r="61" spans="1:13" ht="38.25" x14ac:dyDescent="0.2">
      <c r="A61" s="158">
        <f t="shared" si="3"/>
        <v>31</v>
      </c>
      <c r="B61" s="156" t="s">
        <v>95</v>
      </c>
      <c r="C61" s="151">
        <v>1</v>
      </c>
      <c r="D61" s="159" t="s">
        <v>77</v>
      </c>
      <c r="E61" s="162" t="s">
        <v>157</v>
      </c>
      <c r="F61" s="181" t="s">
        <v>190</v>
      </c>
      <c r="G61" s="181" t="s">
        <v>190</v>
      </c>
      <c r="H61" s="217" t="str">
        <f>+'C01_INICIAL'!F61</f>
        <v>N/A</v>
      </c>
      <c r="I61" s="217">
        <f>+'CO2'!F61</f>
        <v>2730000</v>
      </c>
      <c r="J61" s="217">
        <f>+'CO3'!F61</f>
        <v>522000</v>
      </c>
      <c r="K61" s="217">
        <f>+'CO4'!F61</f>
        <v>4760000</v>
      </c>
      <c r="L61" s="217">
        <f t="shared" si="2"/>
        <v>2670666.6666666665</v>
      </c>
      <c r="M61" s="217">
        <f t="shared" si="4"/>
        <v>2670666.6666666665</v>
      </c>
    </row>
    <row r="62" spans="1:13" ht="12.75" customHeight="1" x14ac:dyDescent="0.2">
      <c r="A62" s="158">
        <f t="shared" si="3"/>
        <v>32</v>
      </c>
      <c r="B62" s="156" t="s">
        <v>96</v>
      </c>
      <c r="C62" s="151">
        <v>1</v>
      </c>
      <c r="D62" s="159" t="s">
        <v>77</v>
      </c>
      <c r="E62" s="162"/>
      <c r="F62" s="181"/>
      <c r="G62" s="181">
        <f t="shared" si="1"/>
        <v>0</v>
      </c>
      <c r="H62" s="217">
        <f>+'C01_INICIAL'!F62</f>
        <v>0</v>
      </c>
      <c r="I62" s="217">
        <f>+'CO2'!F62</f>
        <v>263900</v>
      </c>
      <c r="J62" s="217">
        <f>+'CO3'!F62</f>
        <v>0</v>
      </c>
      <c r="K62" s="217">
        <f>+'CO4'!F62</f>
        <v>0</v>
      </c>
      <c r="L62" s="217">
        <f t="shared" si="2"/>
        <v>65975</v>
      </c>
      <c r="M62" s="217">
        <f t="shared" si="4"/>
        <v>65975</v>
      </c>
    </row>
    <row r="63" spans="1:13" ht="12.75" customHeight="1" x14ac:dyDescent="0.2">
      <c r="A63" s="158">
        <f t="shared" si="3"/>
        <v>33</v>
      </c>
      <c r="B63" s="156" t="s">
        <v>97</v>
      </c>
      <c r="C63" s="151">
        <v>1</v>
      </c>
      <c r="D63" s="159" t="s">
        <v>77</v>
      </c>
      <c r="E63" s="162"/>
      <c r="F63" s="181"/>
      <c r="G63" s="181">
        <f t="shared" si="1"/>
        <v>0</v>
      </c>
      <c r="H63" s="217">
        <f>+'C01_INICIAL'!F63</f>
        <v>0</v>
      </c>
      <c r="I63" s="217">
        <f>+'CO2'!F63</f>
        <v>455000</v>
      </c>
      <c r="J63" s="217">
        <f>+'CO3'!F63</f>
        <v>0</v>
      </c>
      <c r="K63" s="217">
        <f>+'CO4'!F63</f>
        <v>0</v>
      </c>
      <c r="L63" s="217">
        <f t="shared" si="2"/>
        <v>113750</v>
      </c>
      <c r="M63" s="217">
        <f t="shared" si="4"/>
        <v>113750</v>
      </c>
    </row>
    <row r="64" spans="1:13" ht="12.75" customHeight="1" x14ac:dyDescent="0.2">
      <c r="A64" s="158">
        <f t="shared" si="3"/>
        <v>34</v>
      </c>
      <c r="B64" s="156" t="s">
        <v>98</v>
      </c>
      <c r="C64" s="151">
        <v>1</v>
      </c>
      <c r="D64" s="159" t="s">
        <v>77</v>
      </c>
      <c r="E64" s="162"/>
      <c r="F64" s="181"/>
      <c r="G64" s="181">
        <f t="shared" si="1"/>
        <v>0</v>
      </c>
      <c r="H64" s="217">
        <f>+'C01_INICIAL'!F64</f>
        <v>0</v>
      </c>
      <c r="I64" s="217">
        <f>+'CO2'!F64</f>
        <v>728000</v>
      </c>
      <c r="J64" s="217">
        <f>+'CO3'!F64</f>
        <v>0</v>
      </c>
      <c r="K64" s="217">
        <f>+'CO4'!F64</f>
        <v>0</v>
      </c>
      <c r="L64" s="217">
        <f t="shared" si="2"/>
        <v>182000</v>
      </c>
      <c r="M64" s="217">
        <f t="shared" si="4"/>
        <v>182000</v>
      </c>
    </row>
    <row r="65" spans="1:13" ht="12.75" customHeight="1" x14ac:dyDescent="0.2">
      <c r="A65" s="158">
        <f t="shared" si="3"/>
        <v>35</v>
      </c>
      <c r="B65" s="156" t="s">
        <v>99</v>
      </c>
      <c r="C65" s="151">
        <v>1</v>
      </c>
      <c r="D65" s="159" t="s">
        <v>77</v>
      </c>
      <c r="E65" s="162"/>
      <c r="F65" s="181"/>
      <c r="G65" s="181">
        <f t="shared" si="1"/>
        <v>0</v>
      </c>
      <c r="H65" s="217">
        <f>+'C01_INICIAL'!F65</f>
        <v>0</v>
      </c>
      <c r="I65" s="217">
        <f>+'CO2'!F65</f>
        <v>874640</v>
      </c>
      <c r="J65" s="217">
        <f>+'CO3'!F65</f>
        <v>0</v>
      </c>
      <c r="K65" s="217">
        <f>+'CO4'!F65</f>
        <v>0</v>
      </c>
      <c r="L65" s="217">
        <f t="shared" si="2"/>
        <v>218660</v>
      </c>
      <c r="M65" s="217">
        <f t="shared" si="4"/>
        <v>218660</v>
      </c>
    </row>
    <row r="66" spans="1:13" ht="12.75" customHeight="1" x14ac:dyDescent="0.2">
      <c r="A66" s="158">
        <f t="shared" si="3"/>
        <v>36</v>
      </c>
      <c r="B66" s="156" t="s">
        <v>100</v>
      </c>
      <c r="C66" s="151">
        <v>1</v>
      </c>
      <c r="D66" s="154" t="s">
        <v>77</v>
      </c>
      <c r="E66" s="162"/>
      <c r="F66" s="181"/>
      <c r="G66" s="181">
        <f t="shared" si="1"/>
        <v>0</v>
      </c>
      <c r="H66" s="217">
        <f>+'C01_INICIAL'!F66</f>
        <v>0</v>
      </c>
      <c r="I66" s="217">
        <f>+'CO2'!F66</f>
        <v>1216800</v>
      </c>
      <c r="J66" s="217">
        <f>+'CO3'!F66</f>
        <v>0</v>
      </c>
      <c r="K66" s="217">
        <f>+'CO4'!F66</f>
        <v>0</v>
      </c>
      <c r="L66" s="217">
        <f t="shared" si="2"/>
        <v>304200</v>
      </c>
      <c r="M66" s="217">
        <f t="shared" si="4"/>
        <v>304200</v>
      </c>
    </row>
    <row r="67" spans="1:13" x14ac:dyDescent="0.2">
      <c r="A67" s="158">
        <f t="shared" si="3"/>
        <v>37</v>
      </c>
      <c r="B67" s="156" t="s">
        <v>155</v>
      </c>
      <c r="C67" s="151">
        <v>5000</v>
      </c>
      <c r="D67" s="159"/>
      <c r="E67" s="162"/>
      <c r="F67" s="181">
        <v>3200</v>
      </c>
      <c r="G67" s="181">
        <f t="shared" si="1"/>
        <v>16000000</v>
      </c>
      <c r="H67" s="217">
        <f>+'C01_INICIAL'!F67</f>
        <v>3200</v>
      </c>
      <c r="I67" s="217">
        <f>+'CO2'!F67</f>
        <v>1430</v>
      </c>
      <c r="J67" s="217">
        <f>+'CO3'!F67</f>
        <v>4060</v>
      </c>
      <c r="K67" s="217">
        <f>+'CO4'!F67</f>
        <v>4900</v>
      </c>
      <c r="L67" s="217">
        <f t="shared" si="2"/>
        <v>3397.5</v>
      </c>
      <c r="M67" s="217">
        <f t="shared" si="4"/>
        <v>16987500</v>
      </c>
    </row>
    <row r="68" spans="1:13" ht="14.25" customHeight="1" x14ac:dyDescent="0.2">
      <c r="A68" s="143"/>
      <c r="B68" s="552" t="s">
        <v>178</v>
      </c>
      <c r="C68" s="553"/>
      <c r="D68" s="553"/>
      <c r="E68" s="553"/>
      <c r="F68" s="553"/>
      <c r="G68" s="554"/>
      <c r="H68" s="217">
        <f>+'C01_INICIAL'!F68</f>
        <v>0</v>
      </c>
      <c r="I68" s="217">
        <f>+'CO2'!F68</f>
        <v>0</v>
      </c>
      <c r="J68" s="217">
        <f>+'CO3'!F68</f>
        <v>0</v>
      </c>
      <c r="K68" s="217">
        <f>+'CO4'!F68</f>
        <v>0</v>
      </c>
      <c r="L68" s="217">
        <f t="shared" si="2"/>
        <v>0</v>
      </c>
      <c r="M68" s="217">
        <f t="shared" si="4"/>
        <v>0</v>
      </c>
    </row>
    <row r="69" spans="1:13" x14ac:dyDescent="0.2">
      <c r="A69" s="158">
        <v>1</v>
      </c>
      <c r="B69" s="156" t="s">
        <v>163</v>
      </c>
      <c r="C69" s="160"/>
      <c r="D69" s="159"/>
      <c r="E69" s="162"/>
      <c r="F69" s="181">
        <v>1200000</v>
      </c>
      <c r="G69" s="181">
        <v>1200000</v>
      </c>
      <c r="H69" s="217">
        <f>+'C01_INICIAL'!F69</f>
        <v>1200000</v>
      </c>
      <c r="I69" s="217">
        <f>+'CO2'!F69</f>
        <v>364</v>
      </c>
      <c r="J69" s="217">
        <f>+'CO3'!F69</f>
        <v>663917</v>
      </c>
      <c r="K69" s="217">
        <f>+'CO4'!F69</f>
        <v>476050</v>
      </c>
      <c r="L69" s="217">
        <f t="shared" si="2"/>
        <v>585082.75</v>
      </c>
      <c r="M69" s="217">
        <f t="shared" si="4"/>
        <v>0</v>
      </c>
    </row>
    <row r="70" spans="1:13" x14ac:dyDescent="0.2">
      <c r="A70" s="158">
        <v>2</v>
      </c>
      <c r="B70" s="156" t="s">
        <v>164</v>
      </c>
      <c r="C70" s="160">
        <v>58500</v>
      </c>
      <c r="D70" s="159" t="s">
        <v>77</v>
      </c>
      <c r="E70" s="162"/>
      <c r="F70" s="181">
        <v>270</v>
      </c>
      <c r="G70" s="181">
        <f t="shared" si="1"/>
        <v>15795000</v>
      </c>
      <c r="H70" s="217">
        <f>+'C01_INICIAL'!F70</f>
        <v>270</v>
      </c>
      <c r="I70" s="217">
        <f>+'CO2'!F70</f>
        <v>3197182.3993580537</v>
      </c>
      <c r="J70" s="217">
        <f>+'CO3'!F70</f>
        <v>223.88</v>
      </c>
      <c r="K70" s="217">
        <f>+'CO4'!F70</f>
        <v>605</v>
      </c>
      <c r="L70" s="217">
        <f t="shared" si="2"/>
        <v>799570.31983951339</v>
      </c>
      <c r="M70" s="217">
        <f t="shared" si="4"/>
        <v>46774863710.611534</v>
      </c>
    </row>
    <row r="71" spans="1:13" ht="25.5" x14ac:dyDescent="0.2">
      <c r="A71" s="158">
        <v>3</v>
      </c>
      <c r="B71" s="156" t="s">
        <v>165</v>
      </c>
      <c r="C71" s="160">
        <v>1</v>
      </c>
      <c r="D71" s="159"/>
      <c r="E71" s="162"/>
      <c r="F71" s="181">
        <v>2300000</v>
      </c>
      <c r="G71" s="181">
        <v>2300000</v>
      </c>
      <c r="H71" s="217">
        <f>+'C01_INICIAL'!F71</f>
        <v>2300000</v>
      </c>
      <c r="I71" s="217">
        <f>+'CO2'!F71</f>
        <v>2990</v>
      </c>
      <c r="J71" s="217" t="e">
        <f>+'CO3'!#REF!</f>
        <v>#REF!</v>
      </c>
      <c r="K71" s="217">
        <f>+'CO4'!F71</f>
        <v>185100</v>
      </c>
      <c r="L71" s="217" t="e">
        <f t="shared" si="2"/>
        <v>#REF!</v>
      </c>
      <c r="M71" s="217" t="e">
        <f t="shared" si="4"/>
        <v>#REF!</v>
      </c>
    </row>
    <row r="72" spans="1:13" ht="30.75" customHeight="1" x14ac:dyDescent="0.2">
      <c r="A72" s="158">
        <v>4</v>
      </c>
      <c r="B72" s="156" t="s">
        <v>166</v>
      </c>
      <c r="C72" s="160">
        <v>29250</v>
      </c>
      <c r="D72" s="159" t="s">
        <v>77</v>
      </c>
      <c r="E72" s="162"/>
      <c r="F72" s="181">
        <v>1900</v>
      </c>
      <c r="G72" s="181">
        <f t="shared" si="1"/>
        <v>55575000</v>
      </c>
      <c r="H72" s="217">
        <f>+'C01_INICIAL'!F72</f>
        <v>1900</v>
      </c>
      <c r="I72" s="217">
        <f>+'CO2'!F72</f>
        <v>1022163.3362408016</v>
      </c>
      <c r="J72" s="217" t="e">
        <f>+'CO3'!#REF!</f>
        <v>#REF!</v>
      </c>
      <c r="K72" s="217">
        <f>+'CO4'!F72</f>
        <v>4384</v>
      </c>
      <c r="L72" s="217" t="e">
        <f t="shared" si="2"/>
        <v>#REF!</v>
      </c>
      <c r="M72" s="217" t="e">
        <f t="shared" si="4"/>
        <v>#REF!</v>
      </c>
    </row>
    <row r="73" spans="1:13" ht="27.75" customHeight="1" x14ac:dyDescent="0.2">
      <c r="A73" s="158">
        <v>5</v>
      </c>
      <c r="B73" s="156" t="s">
        <v>167</v>
      </c>
      <c r="C73" s="160">
        <v>1</v>
      </c>
      <c r="D73" s="159"/>
      <c r="E73" s="162"/>
      <c r="F73" s="181">
        <v>2500000</v>
      </c>
      <c r="G73" s="181">
        <v>2500000</v>
      </c>
      <c r="H73" s="217">
        <f>+'C01_INICIAL'!F73</f>
        <v>2500000</v>
      </c>
      <c r="I73" s="217">
        <f>+'CO2'!F73</f>
        <v>325</v>
      </c>
      <c r="J73" s="217">
        <f>+'CO3'!F71</f>
        <v>360413</v>
      </c>
      <c r="K73" s="217">
        <f>+'CO4'!F73</f>
        <v>760725</v>
      </c>
      <c r="L73" s="217">
        <f t="shared" si="2"/>
        <v>905365.75</v>
      </c>
      <c r="M73" s="217">
        <f t="shared" si="4"/>
        <v>905365.75</v>
      </c>
    </row>
    <row r="74" spans="1:13" ht="30" customHeight="1" x14ac:dyDescent="0.2">
      <c r="A74" s="158">
        <v>6</v>
      </c>
      <c r="B74" s="156" t="s">
        <v>168</v>
      </c>
      <c r="C74" s="160">
        <v>29250</v>
      </c>
      <c r="D74" s="159" t="s">
        <v>77</v>
      </c>
      <c r="E74" s="162"/>
      <c r="F74" s="181">
        <v>2800</v>
      </c>
      <c r="G74" s="181">
        <f t="shared" si="1"/>
        <v>81900000</v>
      </c>
      <c r="H74" s="217">
        <f>+'C01_INICIAL'!F74</f>
        <v>2800</v>
      </c>
      <c r="I74" s="217">
        <f>+'CO2'!F74</f>
        <v>3200214.8770128721</v>
      </c>
      <c r="J74" s="217">
        <f>+'CO3'!F72</f>
        <v>266.8</v>
      </c>
      <c r="K74" s="217">
        <f>+'CO4'!F74</f>
        <v>372</v>
      </c>
      <c r="L74" s="217">
        <f t="shared" si="2"/>
        <v>800913.41925321799</v>
      </c>
      <c r="M74" s="217">
        <f t="shared" si="4"/>
        <v>23426717513.156628</v>
      </c>
    </row>
    <row r="75" spans="1:13" x14ac:dyDescent="0.2">
      <c r="A75" s="158">
        <v>7</v>
      </c>
      <c r="B75" s="156" t="s">
        <v>149</v>
      </c>
      <c r="C75" s="160">
        <v>29250</v>
      </c>
      <c r="D75" s="159" t="s">
        <v>77</v>
      </c>
      <c r="E75" s="162"/>
      <c r="F75" s="181">
        <v>25000</v>
      </c>
      <c r="G75" s="181">
        <f t="shared" si="1"/>
        <v>731250000</v>
      </c>
      <c r="H75" s="217">
        <f>+'C01_INICIAL'!F75</f>
        <v>25000</v>
      </c>
      <c r="I75" s="217">
        <f>+'CO2'!F75</f>
        <v>26000</v>
      </c>
      <c r="J75" s="217">
        <f>+'CO3'!F73</f>
        <v>0</v>
      </c>
      <c r="K75" s="217">
        <f>+'CO4'!F75</f>
        <v>31850</v>
      </c>
      <c r="L75" s="217">
        <f t="shared" si="2"/>
        <v>20712.5</v>
      </c>
      <c r="M75" s="217">
        <f t="shared" si="4"/>
        <v>605840625</v>
      </c>
    </row>
    <row r="76" spans="1:13" ht="24" customHeight="1" x14ac:dyDescent="0.2">
      <c r="A76" s="158">
        <v>8</v>
      </c>
      <c r="B76" s="156" t="s">
        <v>150</v>
      </c>
      <c r="C76" s="160">
        <v>29250</v>
      </c>
      <c r="D76" s="159" t="s">
        <v>77</v>
      </c>
      <c r="E76" s="162"/>
      <c r="F76" s="181">
        <v>3500</v>
      </c>
      <c r="G76" s="181">
        <f t="shared" si="1"/>
        <v>102375000</v>
      </c>
      <c r="H76" s="217">
        <f>+'C01_INICIAL'!F76</f>
        <v>3500</v>
      </c>
      <c r="I76" s="217">
        <f>+'CO2'!F76</f>
        <v>650</v>
      </c>
      <c r="J76" s="217">
        <f>+'CO3'!F74</f>
        <v>0</v>
      </c>
      <c r="K76" s="217">
        <f>+'CO4'!F76</f>
        <v>20000</v>
      </c>
      <c r="L76" s="217">
        <f t="shared" si="2"/>
        <v>6037.5</v>
      </c>
      <c r="M76" s="217">
        <f t="shared" ref="M76:M87" si="5">+L76*C76</f>
        <v>176596875</v>
      </c>
    </row>
    <row r="77" spans="1:13" ht="58.5" customHeight="1" x14ac:dyDescent="0.2">
      <c r="A77" s="146">
        <v>9</v>
      </c>
      <c r="B77" s="156" t="s">
        <v>76</v>
      </c>
      <c r="C77" s="160">
        <v>29250</v>
      </c>
      <c r="D77" s="159" t="s">
        <v>77</v>
      </c>
      <c r="E77" s="162" t="s">
        <v>159</v>
      </c>
      <c r="F77" s="181">
        <v>9200</v>
      </c>
      <c r="G77" s="181">
        <f t="shared" ref="G77:G81" si="6">+F77*C77</f>
        <v>269100000</v>
      </c>
      <c r="H77" s="217">
        <f>+'C01_INICIAL'!F77</f>
        <v>9200</v>
      </c>
      <c r="I77" s="217">
        <f>+'CO2'!F77</f>
        <v>5000</v>
      </c>
      <c r="J77" s="217">
        <f>+'CO3'!F75</f>
        <v>0</v>
      </c>
      <c r="K77" s="217">
        <f>+'CO4'!F77</f>
        <v>4017</v>
      </c>
      <c r="L77" s="217">
        <f t="shared" ref="L77:L86" si="7">+AVERAGE(H77:K77)</f>
        <v>4554.25</v>
      </c>
      <c r="M77" s="217">
        <f t="shared" si="5"/>
        <v>133211812.5</v>
      </c>
    </row>
    <row r="78" spans="1:13" ht="14.25" customHeight="1" x14ac:dyDescent="0.2">
      <c r="A78" s="143"/>
      <c r="B78" s="142" t="s">
        <v>179</v>
      </c>
      <c r="C78" s="144"/>
      <c r="D78" s="142"/>
      <c r="E78" s="145"/>
      <c r="F78" s="180"/>
      <c r="G78" s="180"/>
      <c r="H78" s="217">
        <f>+'C01_INICIAL'!F78</f>
        <v>0</v>
      </c>
      <c r="I78" s="217">
        <f>+'CO2'!F78</f>
        <v>0</v>
      </c>
      <c r="J78" s="217">
        <f>+'CO3'!F76</f>
        <v>0</v>
      </c>
      <c r="K78" s="217">
        <f>+'CO4'!F78</f>
        <v>0</v>
      </c>
      <c r="L78" s="217">
        <f t="shared" si="7"/>
        <v>0</v>
      </c>
      <c r="M78" s="217">
        <f t="shared" si="5"/>
        <v>0</v>
      </c>
    </row>
    <row r="79" spans="1:13" x14ac:dyDescent="0.2">
      <c r="A79" s="158" t="s">
        <v>180</v>
      </c>
      <c r="B79" s="156" t="s">
        <v>143</v>
      </c>
      <c r="C79" s="151">
        <v>1</v>
      </c>
      <c r="D79" s="159" t="s">
        <v>106</v>
      </c>
      <c r="E79" s="162" t="s">
        <v>130</v>
      </c>
      <c r="F79" s="181">
        <v>3200000</v>
      </c>
      <c r="G79" s="181">
        <f t="shared" si="6"/>
        <v>3200000</v>
      </c>
      <c r="H79" s="217">
        <f>+'C01_INICIAL'!F79</f>
        <v>3200000</v>
      </c>
      <c r="I79" s="217">
        <f>+'CO2'!F79</f>
        <v>15080000</v>
      </c>
      <c r="J79" s="217">
        <f>+'CO3'!F77</f>
        <v>35000000</v>
      </c>
      <c r="K79" s="217">
        <f>+'CO4'!F79</f>
        <v>21890000</v>
      </c>
      <c r="L79" s="217">
        <f t="shared" si="7"/>
        <v>18792500</v>
      </c>
      <c r="M79" s="217">
        <f t="shared" si="5"/>
        <v>18792500</v>
      </c>
    </row>
    <row r="80" spans="1:13" x14ac:dyDescent="0.2">
      <c r="A80" s="158" t="s">
        <v>181</v>
      </c>
      <c r="B80" s="156" t="s">
        <v>118</v>
      </c>
      <c r="C80" s="151">
        <v>1</v>
      </c>
      <c r="D80" s="159" t="s">
        <v>119</v>
      </c>
      <c r="E80" s="163" t="s">
        <v>109</v>
      </c>
      <c r="F80" s="181">
        <v>15600000</v>
      </c>
      <c r="G80" s="181">
        <f t="shared" si="6"/>
        <v>15600000</v>
      </c>
      <c r="H80" s="217">
        <f>+'C01_INICIAL'!F80</f>
        <v>15600000</v>
      </c>
      <c r="I80" s="217">
        <f>+'CO2'!F80</f>
        <v>37700000</v>
      </c>
      <c r="J80" s="217">
        <f>+'CO3'!F78</f>
        <v>235000000</v>
      </c>
      <c r="K80" s="217">
        <f>+'CO4'!F80</f>
        <v>49000000</v>
      </c>
      <c r="L80" s="217">
        <f t="shared" si="7"/>
        <v>84325000</v>
      </c>
      <c r="M80" s="217">
        <f t="shared" si="5"/>
        <v>84325000</v>
      </c>
    </row>
    <row r="81" spans="1:13" ht="42" customHeight="1" x14ac:dyDescent="0.2">
      <c r="A81" s="158" t="s">
        <v>182</v>
      </c>
      <c r="B81" s="156" t="s">
        <v>120</v>
      </c>
      <c r="C81" s="160">
        <v>4000</v>
      </c>
      <c r="D81" s="159" t="s">
        <v>108</v>
      </c>
      <c r="E81" s="164" t="s">
        <v>158</v>
      </c>
      <c r="F81" s="181">
        <v>900</v>
      </c>
      <c r="G81" s="181">
        <f t="shared" si="6"/>
        <v>3600000</v>
      </c>
      <c r="H81" s="217">
        <f>+'C01_INICIAL'!F81</f>
        <v>900</v>
      </c>
      <c r="I81" s="217">
        <f>+'CO2'!F81</f>
        <v>754</v>
      </c>
      <c r="J81" s="217">
        <f>+'CO3'!F79</f>
        <v>500</v>
      </c>
      <c r="K81" s="217">
        <f>+'CO4'!F81</f>
        <v>3000</v>
      </c>
      <c r="L81" s="217">
        <f t="shared" si="7"/>
        <v>1288.5</v>
      </c>
      <c r="M81" s="217">
        <f t="shared" si="5"/>
        <v>5154000</v>
      </c>
    </row>
    <row r="82" spans="1:13" ht="25.5" hidden="1" customHeight="1" x14ac:dyDescent="0.2">
      <c r="A82" s="143"/>
      <c r="B82" s="165" t="s">
        <v>121</v>
      </c>
      <c r="C82" s="144"/>
      <c r="D82" s="142"/>
      <c r="E82" s="145"/>
      <c r="F82" s="180"/>
      <c r="G82" s="180"/>
      <c r="H82" s="217">
        <f>+'C01_INICIAL'!F82</f>
        <v>0</v>
      </c>
      <c r="I82" s="217">
        <f>+'CO2'!F82</f>
        <v>0</v>
      </c>
      <c r="J82" s="217">
        <f>+'CO3'!F80</f>
        <v>0</v>
      </c>
      <c r="K82" s="217">
        <f>+'CO4'!F82</f>
        <v>0</v>
      </c>
      <c r="L82" s="217">
        <f t="shared" si="7"/>
        <v>0</v>
      </c>
      <c r="M82" s="217">
        <f t="shared" si="5"/>
        <v>0</v>
      </c>
    </row>
    <row r="83" spans="1:13" ht="12.75" hidden="1" customHeight="1" x14ac:dyDescent="0.2">
      <c r="A83" s="158"/>
      <c r="B83" s="156" t="s">
        <v>122</v>
      </c>
      <c r="C83" s="151"/>
      <c r="D83" s="159"/>
      <c r="E83" s="162"/>
      <c r="F83" s="181"/>
      <c r="G83" s="181"/>
      <c r="H83" s="217">
        <f>+'C01_INICIAL'!F83</f>
        <v>0</v>
      </c>
      <c r="I83" s="217">
        <f>+'CO2'!F83</f>
        <v>0</v>
      </c>
      <c r="J83" s="217">
        <f>+'CO3'!F81</f>
        <v>0</v>
      </c>
      <c r="K83" s="217">
        <f>+'CO4'!F83</f>
        <v>0</v>
      </c>
      <c r="L83" s="217">
        <f t="shared" si="7"/>
        <v>0</v>
      </c>
      <c r="M83" s="217">
        <f t="shared" si="5"/>
        <v>0</v>
      </c>
    </row>
    <row r="84" spans="1:13" x14ac:dyDescent="0.2">
      <c r="A84" s="143"/>
      <c r="B84" s="165" t="s">
        <v>183</v>
      </c>
      <c r="C84" s="144"/>
      <c r="D84" s="142"/>
      <c r="E84" s="145"/>
      <c r="F84" s="180"/>
      <c r="G84" s="180"/>
      <c r="H84" s="217">
        <f>+'C01_INICIAL'!F84</f>
        <v>0</v>
      </c>
      <c r="I84" s="217">
        <f>+'CO2'!F84</f>
        <v>0</v>
      </c>
      <c r="J84" s="217">
        <f>+'CO3'!F82</f>
        <v>0</v>
      </c>
      <c r="K84" s="217">
        <f>+'CO4'!F84</f>
        <v>0</v>
      </c>
      <c r="L84" s="217">
        <f t="shared" si="7"/>
        <v>0</v>
      </c>
      <c r="M84" s="217">
        <f t="shared" si="5"/>
        <v>0</v>
      </c>
    </row>
    <row r="85" spans="1:13" ht="38.25" x14ac:dyDescent="0.2">
      <c r="A85" s="146" t="s">
        <v>184</v>
      </c>
      <c r="B85" s="147" t="s">
        <v>162</v>
      </c>
      <c r="C85" s="148">
        <v>1</v>
      </c>
      <c r="D85" s="166" t="s">
        <v>77</v>
      </c>
      <c r="E85" s="163" t="s">
        <v>169</v>
      </c>
      <c r="F85" s="184">
        <v>100000000</v>
      </c>
      <c r="G85" s="181">
        <v>100000000</v>
      </c>
      <c r="H85" s="217">
        <f>+'C01_INICIAL'!F85</f>
        <v>100000000</v>
      </c>
      <c r="I85" s="217">
        <f>+'CO2'!F85</f>
        <v>18096000</v>
      </c>
      <c r="J85" s="217">
        <f>+'CO3'!F83</f>
        <v>96000000</v>
      </c>
      <c r="K85" s="217">
        <f>+'CO4'!F85</f>
        <v>95500000</v>
      </c>
      <c r="L85" s="217">
        <f t="shared" si="7"/>
        <v>77399000</v>
      </c>
      <c r="M85" s="217">
        <f t="shared" si="5"/>
        <v>77399000</v>
      </c>
    </row>
    <row r="86" spans="1:13" x14ac:dyDescent="0.2">
      <c r="A86" s="167"/>
      <c r="B86" s="168" t="s">
        <v>185</v>
      </c>
      <c r="C86" s="169"/>
      <c r="D86" s="168"/>
      <c r="E86" s="170"/>
      <c r="F86" s="180"/>
      <c r="G86" s="180"/>
      <c r="H86" s="217">
        <f>+'C01_INICIAL'!F86</f>
        <v>0</v>
      </c>
      <c r="I86" s="217">
        <f>+'CO2'!F86</f>
        <v>0</v>
      </c>
      <c r="J86" s="217">
        <f>+'CO3'!F84</f>
        <v>0</v>
      </c>
      <c r="K86" s="217">
        <f>+'CO4'!F86</f>
        <v>0</v>
      </c>
      <c r="L86" s="217">
        <f t="shared" si="7"/>
        <v>0</v>
      </c>
      <c r="M86" s="217">
        <f t="shared" si="5"/>
        <v>0</v>
      </c>
    </row>
    <row r="87" spans="1:13" ht="169.5" customHeight="1" x14ac:dyDescent="0.2">
      <c r="A87" s="146">
        <v>2.6</v>
      </c>
      <c r="B87" s="156" t="s">
        <v>103</v>
      </c>
      <c r="C87" s="151">
        <v>10</v>
      </c>
      <c r="D87" s="154" t="s">
        <v>105</v>
      </c>
      <c r="E87" s="149" t="s">
        <v>104</v>
      </c>
      <c r="F87" s="184">
        <v>35000000</v>
      </c>
      <c r="G87" s="181">
        <f>C87*F87</f>
        <v>350000000</v>
      </c>
      <c r="H87" s="217">
        <f>+'C01_INICIAL'!F87</f>
        <v>35000000</v>
      </c>
      <c r="I87" s="217">
        <f>+'CO2'!F87</f>
        <v>12064000</v>
      </c>
      <c r="J87" s="217">
        <f>+'CO3'!F85</f>
        <v>11210000</v>
      </c>
      <c r="K87" s="217">
        <f>+'CO4'!F87</f>
        <v>8690000</v>
      </c>
      <c r="L87" s="217">
        <f>+AVERAGE(H87:K87)</f>
        <v>16741000</v>
      </c>
      <c r="M87" s="217">
        <f t="shared" si="5"/>
        <v>167410000</v>
      </c>
    </row>
    <row r="89" spans="1:13" x14ac:dyDescent="0.2">
      <c r="M89" s="215" t="e">
        <f>+SUM(M12:M87)</f>
        <v>#REF!</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opLeftCell="A46" zoomScaleSheetLayoutView="10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420" customWidth="1"/>
    <col min="4" max="4" width="16.140625" style="174" customWidth="1"/>
    <col min="5" max="5" width="15.7109375" style="178" hidden="1" customWidth="1"/>
    <col min="6" max="6" width="20.28515625" style="178" hidden="1" customWidth="1"/>
    <col min="7" max="7" width="17.85546875" style="215" customWidth="1"/>
    <col min="8" max="8" width="14.85546875" style="215" customWidth="1"/>
    <col min="9" max="9" width="33.85546875" style="137" hidden="1" customWidth="1"/>
    <col min="10" max="10" width="13.42578125" style="137" bestFit="1" customWidth="1"/>
    <col min="11" max="11" width="11.5703125" style="137" bestFit="1" customWidth="1"/>
    <col min="12" max="16384" width="10.85546875" style="137"/>
  </cols>
  <sheetData>
    <row r="1" spans="1:9" x14ac:dyDescent="0.2">
      <c r="B1" s="213"/>
    </row>
    <row r="2" spans="1:9" hidden="1" x14ac:dyDescent="0.2">
      <c r="B2" s="213" t="s">
        <v>192</v>
      </c>
    </row>
    <row r="3" spans="1:9" hidden="1" x14ac:dyDescent="0.2">
      <c r="B3" s="213" t="s">
        <v>194</v>
      </c>
    </row>
    <row r="4" spans="1:9" hidden="1" x14ac:dyDescent="0.2">
      <c r="B4" s="214" t="s">
        <v>161</v>
      </c>
    </row>
    <row r="5" spans="1:9" hidden="1" x14ac:dyDescent="0.2">
      <c r="B5" s="213" t="s">
        <v>160</v>
      </c>
    </row>
    <row r="6" spans="1:9" hidden="1" x14ac:dyDescent="0.2">
      <c r="B6" s="213" t="s">
        <v>193</v>
      </c>
    </row>
    <row r="7" spans="1:9" ht="27" customHeight="1" x14ac:dyDescent="0.2">
      <c r="G7" s="294"/>
    </row>
    <row r="8" spans="1:9" ht="15" customHeight="1" x14ac:dyDescent="0.2">
      <c r="A8" s="543" t="s">
        <v>259</v>
      </c>
      <c r="B8" s="544"/>
      <c r="C8" s="544"/>
      <c r="D8" s="544"/>
      <c r="E8" s="544"/>
      <c r="F8" s="544"/>
      <c r="G8" s="544"/>
      <c r="H8" s="544"/>
    </row>
    <row r="9" spans="1:9" ht="25.5" x14ac:dyDescent="0.2">
      <c r="A9" s="539" t="s">
        <v>62</v>
      </c>
      <c r="B9" s="539"/>
      <c r="C9" s="421" t="s">
        <v>63</v>
      </c>
      <c r="D9" s="264" t="s">
        <v>64</v>
      </c>
      <c r="E9" s="273" t="s">
        <v>101</v>
      </c>
      <c r="F9" s="273" t="s">
        <v>61</v>
      </c>
      <c r="G9" s="274" t="s">
        <v>658</v>
      </c>
      <c r="H9" s="274"/>
    </row>
    <row r="10" spans="1:9" x14ac:dyDescent="0.2">
      <c r="A10" s="275"/>
      <c r="B10" s="272" t="s">
        <v>117</v>
      </c>
      <c r="C10" s="421"/>
      <c r="D10" s="264"/>
      <c r="E10" s="273"/>
      <c r="F10" s="273"/>
      <c r="G10" s="274"/>
      <c r="H10" s="274"/>
    </row>
    <row r="11" spans="1:9" ht="40.5" customHeight="1" x14ac:dyDescent="0.2">
      <c r="A11" s="276" t="s">
        <v>129</v>
      </c>
      <c r="B11" s="272" t="s">
        <v>170</v>
      </c>
      <c r="C11" s="422"/>
      <c r="D11" s="272"/>
      <c r="E11" s="273"/>
      <c r="F11" s="273"/>
      <c r="G11" s="277" t="s">
        <v>101</v>
      </c>
      <c r="H11" s="277" t="s">
        <v>41</v>
      </c>
      <c r="I11" s="423" t="s">
        <v>659</v>
      </c>
    </row>
    <row r="12" spans="1:9" x14ac:dyDescent="0.2">
      <c r="A12" s="158">
        <v>1</v>
      </c>
      <c r="B12" s="147" t="s">
        <v>127</v>
      </c>
      <c r="C12" s="424">
        <v>3</v>
      </c>
      <c r="D12" s="148" t="s">
        <v>111</v>
      </c>
      <c r="E12" s="181">
        <v>29700000</v>
      </c>
      <c r="F12" s="181">
        <f t="shared" ref="F12:F20" si="0">+E12*C12</f>
        <v>89100000</v>
      </c>
      <c r="G12" s="252">
        <v>19740000</v>
      </c>
      <c r="H12" s="217">
        <f>+G12*C12</f>
        <v>59220000</v>
      </c>
      <c r="I12" s="257" t="s">
        <v>602</v>
      </c>
    </row>
    <row r="13" spans="1:9" x14ac:dyDescent="0.2">
      <c r="A13" s="158">
        <v>2</v>
      </c>
      <c r="B13" s="147" t="s">
        <v>128</v>
      </c>
      <c r="C13" s="424">
        <v>4</v>
      </c>
      <c r="D13" s="148" t="s">
        <v>111</v>
      </c>
      <c r="E13" s="181">
        <v>29400000</v>
      </c>
      <c r="F13" s="181">
        <f t="shared" si="0"/>
        <v>117600000</v>
      </c>
      <c r="G13" s="252">
        <v>17640000</v>
      </c>
      <c r="H13" s="217">
        <f t="shared" ref="H13:H71" si="1">+G13*C13</f>
        <v>70560000</v>
      </c>
      <c r="I13" s="257" t="s">
        <v>602</v>
      </c>
    </row>
    <row r="14" spans="1:9" x14ac:dyDescent="0.2">
      <c r="A14" s="158">
        <v>3</v>
      </c>
      <c r="B14" s="147" t="s">
        <v>186</v>
      </c>
      <c r="C14" s="424">
        <v>5</v>
      </c>
      <c r="D14" s="148" t="s">
        <v>110</v>
      </c>
      <c r="E14" s="181">
        <v>7300000</v>
      </c>
      <c r="F14" s="181">
        <f t="shared" si="0"/>
        <v>36500000</v>
      </c>
      <c r="G14" s="252">
        <v>21329000</v>
      </c>
      <c r="H14" s="217">
        <f t="shared" si="1"/>
        <v>106645000</v>
      </c>
      <c r="I14" s="257" t="s">
        <v>607</v>
      </c>
    </row>
    <row r="15" spans="1:9" x14ac:dyDescent="0.2">
      <c r="A15" s="158">
        <v>4</v>
      </c>
      <c r="B15" s="147" t="s">
        <v>187</v>
      </c>
      <c r="C15" s="424">
        <v>5</v>
      </c>
      <c r="D15" s="148" t="s">
        <v>110</v>
      </c>
      <c r="E15" s="181">
        <v>5400000</v>
      </c>
      <c r="F15" s="181">
        <f t="shared" si="0"/>
        <v>27000000</v>
      </c>
      <c r="G15" s="252">
        <v>24570000</v>
      </c>
      <c r="H15" s="217">
        <f t="shared" si="1"/>
        <v>122850000</v>
      </c>
      <c r="I15" s="257" t="s">
        <v>607</v>
      </c>
    </row>
    <row r="16" spans="1:9" x14ac:dyDescent="0.2">
      <c r="A16" s="158">
        <v>5</v>
      </c>
      <c r="B16" s="147" t="s">
        <v>113</v>
      </c>
      <c r="C16" s="424">
        <v>4</v>
      </c>
      <c r="D16" s="148" t="s">
        <v>114</v>
      </c>
      <c r="E16" s="181">
        <v>21000000</v>
      </c>
      <c r="F16" s="181">
        <f t="shared" si="0"/>
        <v>84000000</v>
      </c>
      <c r="G16" s="252">
        <v>28560000</v>
      </c>
      <c r="H16" s="217">
        <f t="shared" si="1"/>
        <v>114240000</v>
      </c>
      <c r="I16" s="257" t="s">
        <v>660</v>
      </c>
    </row>
    <row r="17" spans="1:9" x14ac:dyDescent="0.2">
      <c r="A17" s="158">
        <v>6</v>
      </c>
      <c r="B17" s="147" t="s">
        <v>107</v>
      </c>
      <c r="C17" s="425">
        <v>16</v>
      </c>
      <c r="D17" s="148" t="s">
        <v>123</v>
      </c>
      <c r="E17" s="181">
        <v>14500000</v>
      </c>
      <c r="F17" s="181">
        <f t="shared" si="0"/>
        <v>232000000</v>
      </c>
      <c r="G17" s="252">
        <v>31467800</v>
      </c>
      <c r="H17" s="217">
        <f t="shared" si="1"/>
        <v>503484800</v>
      </c>
      <c r="I17" s="257" t="s">
        <v>611</v>
      </c>
    </row>
    <row r="18" spans="1:9" x14ac:dyDescent="0.2">
      <c r="A18" s="158">
        <v>7</v>
      </c>
      <c r="B18" s="147" t="s">
        <v>151</v>
      </c>
      <c r="C18" s="425">
        <v>2</v>
      </c>
      <c r="D18" s="148" t="s">
        <v>252</v>
      </c>
      <c r="E18" s="181">
        <v>15400000</v>
      </c>
      <c r="F18" s="181">
        <f t="shared" si="0"/>
        <v>30800000</v>
      </c>
      <c r="G18" s="252">
        <v>6715900</v>
      </c>
      <c r="H18" s="217">
        <f t="shared" si="1"/>
        <v>13431800</v>
      </c>
      <c r="I18" s="257" t="s">
        <v>614</v>
      </c>
    </row>
    <row r="19" spans="1:9" ht="13.5" thickBot="1" x14ac:dyDescent="0.25">
      <c r="A19" s="158">
        <v>8</v>
      </c>
      <c r="B19" s="147" t="s">
        <v>176</v>
      </c>
      <c r="C19" s="425">
        <v>2</v>
      </c>
      <c r="D19" s="148" t="s">
        <v>252</v>
      </c>
      <c r="E19" s="181">
        <v>21000000</v>
      </c>
      <c r="F19" s="181">
        <f t="shared" si="0"/>
        <v>42000000</v>
      </c>
      <c r="G19" s="252">
        <v>12901360</v>
      </c>
      <c r="H19" s="217">
        <f t="shared" si="1"/>
        <v>25802720</v>
      </c>
      <c r="I19" s="257" t="s">
        <v>614</v>
      </c>
    </row>
    <row r="20" spans="1:9" x14ac:dyDescent="0.2">
      <c r="A20" s="158">
        <v>9</v>
      </c>
      <c r="B20" s="147" t="s">
        <v>144</v>
      </c>
      <c r="C20" s="426">
        <v>8</v>
      </c>
      <c r="D20" s="147" t="s">
        <v>145</v>
      </c>
      <c r="E20" s="183">
        <v>5000000</v>
      </c>
      <c r="F20" s="181">
        <f t="shared" si="0"/>
        <v>40000000</v>
      </c>
      <c r="G20" s="252">
        <v>378000</v>
      </c>
      <c r="H20" s="217">
        <f t="shared" si="1"/>
        <v>3024000</v>
      </c>
      <c r="I20" s="257" t="s">
        <v>614</v>
      </c>
    </row>
    <row r="21" spans="1:9" x14ac:dyDescent="0.2">
      <c r="A21" s="266"/>
      <c r="B21" s="272" t="s">
        <v>256</v>
      </c>
      <c r="C21" s="422"/>
      <c r="D21" s="272"/>
      <c r="E21" s="280"/>
      <c r="F21" s="280"/>
      <c r="G21" s="281"/>
      <c r="H21" s="217">
        <f t="shared" si="1"/>
        <v>0</v>
      </c>
      <c r="I21" s="257"/>
    </row>
    <row r="22" spans="1:9" x14ac:dyDescent="0.2">
      <c r="A22" s="158">
        <v>1</v>
      </c>
      <c r="B22" s="156" t="s">
        <v>78</v>
      </c>
      <c r="C22" s="160">
        <v>1</v>
      </c>
      <c r="D22" s="159" t="s">
        <v>77</v>
      </c>
      <c r="E22" s="181">
        <v>650000</v>
      </c>
      <c r="F22" s="181">
        <f t="shared" ref="F22:F47" si="2">+E22*C22</f>
        <v>650000</v>
      </c>
      <c r="G22" s="217">
        <v>65650</v>
      </c>
      <c r="H22" s="217">
        <f t="shared" si="1"/>
        <v>65650</v>
      </c>
      <c r="I22" s="257" t="s">
        <v>560</v>
      </c>
    </row>
    <row r="23" spans="1:9" x14ac:dyDescent="0.2">
      <c r="A23" s="158">
        <f t="shared" ref="A23:A57" si="3">+A22+1</f>
        <v>2</v>
      </c>
      <c r="B23" s="156" t="s">
        <v>79</v>
      </c>
      <c r="C23" s="160">
        <v>5000</v>
      </c>
      <c r="D23" s="159" t="s">
        <v>77</v>
      </c>
      <c r="E23" s="181">
        <v>1300</v>
      </c>
      <c r="F23" s="181">
        <f t="shared" si="2"/>
        <v>6500000</v>
      </c>
      <c r="G23" s="217">
        <v>137</v>
      </c>
      <c r="H23" s="217">
        <f t="shared" si="1"/>
        <v>685000</v>
      </c>
      <c r="I23" s="257" t="s">
        <v>560</v>
      </c>
    </row>
    <row r="24" spans="1:9" x14ac:dyDescent="0.2">
      <c r="A24" s="158">
        <f t="shared" si="3"/>
        <v>3</v>
      </c>
      <c r="B24" s="156" t="s">
        <v>80</v>
      </c>
      <c r="C24" s="160">
        <v>1</v>
      </c>
      <c r="D24" s="159" t="s">
        <v>77</v>
      </c>
      <c r="E24" s="181">
        <v>2100000</v>
      </c>
      <c r="F24" s="181">
        <f t="shared" si="2"/>
        <v>2100000</v>
      </c>
      <c r="G24" s="217">
        <v>814000</v>
      </c>
      <c r="H24" s="217">
        <f t="shared" si="1"/>
        <v>814000</v>
      </c>
      <c r="I24" s="257"/>
    </row>
    <row r="25" spans="1:9" x14ac:dyDescent="0.2">
      <c r="A25" s="158">
        <f t="shared" si="3"/>
        <v>4</v>
      </c>
      <c r="B25" s="156" t="s">
        <v>81</v>
      </c>
      <c r="C25" s="160">
        <v>2</v>
      </c>
      <c r="D25" s="159" t="s">
        <v>77</v>
      </c>
      <c r="E25" s="181">
        <v>1500000</v>
      </c>
      <c r="F25" s="181">
        <f t="shared" si="2"/>
        <v>3000000</v>
      </c>
      <c r="G25" s="217">
        <v>570500</v>
      </c>
      <c r="H25" s="217">
        <f t="shared" si="1"/>
        <v>1141000</v>
      </c>
      <c r="I25" s="257"/>
    </row>
    <row r="26" spans="1:9" x14ac:dyDescent="0.2">
      <c r="A26" s="158">
        <f t="shared" si="3"/>
        <v>5</v>
      </c>
      <c r="B26" s="156" t="s">
        <v>82</v>
      </c>
      <c r="C26" s="160">
        <v>1</v>
      </c>
      <c r="D26" s="159" t="s">
        <v>77</v>
      </c>
      <c r="E26" s="181">
        <v>1400000</v>
      </c>
      <c r="F26" s="181">
        <f t="shared" si="2"/>
        <v>1400000</v>
      </c>
      <c r="G26" s="217">
        <v>360000</v>
      </c>
      <c r="H26" s="217">
        <f t="shared" si="1"/>
        <v>360000</v>
      </c>
      <c r="I26" s="257"/>
    </row>
    <row r="27" spans="1:9" x14ac:dyDescent="0.2">
      <c r="A27" s="158">
        <f t="shared" si="3"/>
        <v>6</v>
      </c>
      <c r="B27" s="156" t="s">
        <v>137</v>
      </c>
      <c r="C27" s="160">
        <v>1</v>
      </c>
      <c r="D27" s="159" t="s">
        <v>77</v>
      </c>
      <c r="E27" s="181">
        <v>600000</v>
      </c>
      <c r="F27" s="181">
        <f t="shared" si="2"/>
        <v>600000</v>
      </c>
      <c r="G27" s="217">
        <v>328900</v>
      </c>
      <c r="H27" s="217">
        <f t="shared" si="1"/>
        <v>328900</v>
      </c>
      <c r="I27" s="257"/>
    </row>
    <row r="28" spans="1:9" x14ac:dyDescent="0.2">
      <c r="A28" s="158">
        <f t="shared" si="3"/>
        <v>7</v>
      </c>
      <c r="B28" s="156" t="s">
        <v>138</v>
      </c>
      <c r="C28" s="160">
        <v>5000</v>
      </c>
      <c r="D28" s="159" t="s">
        <v>77</v>
      </c>
      <c r="E28" s="184">
        <v>310</v>
      </c>
      <c r="F28" s="181">
        <f t="shared" si="2"/>
        <v>1550000</v>
      </c>
      <c r="G28" s="217">
        <v>218</v>
      </c>
      <c r="H28" s="217">
        <f t="shared" si="1"/>
        <v>1090000</v>
      </c>
      <c r="I28" s="257"/>
    </row>
    <row r="29" spans="1:9" x14ac:dyDescent="0.2">
      <c r="A29" s="158">
        <f t="shared" si="3"/>
        <v>8</v>
      </c>
      <c r="B29" s="156" t="s">
        <v>139</v>
      </c>
      <c r="C29" s="160">
        <v>1</v>
      </c>
      <c r="D29" s="159" t="s">
        <v>77</v>
      </c>
      <c r="E29" s="181">
        <v>900000</v>
      </c>
      <c r="F29" s="181">
        <f t="shared" si="2"/>
        <v>900000</v>
      </c>
      <c r="G29" s="217">
        <v>575900</v>
      </c>
      <c r="H29" s="217">
        <f t="shared" si="1"/>
        <v>575900</v>
      </c>
      <c r="I29" s="257"/>
    </row>
    <row r="30" spans="1:9" x14ac:dyDescent="0.2">
      <c r="A30" s="158">
        <f t="shared" si="3"/>
        <v>9</v>
      </c>
      <c r="B30" s="156" t="s">
        <v>303</v>
      </c>
      <c r="C30" s="160">
        <v>10000</v>
      </c>
      <c r="D30" s="159" t="s">
        <v>77</v>
      </c>
      <c r="E30" s="184">
        <v>360</v>
      </c>
      <c r="F30" s="181">
        <f t="shared" si="2"/>
        <v>3600000</v>
      </c>
      <c r="G30" s="217">
        <v>267</v>
      </c>
      <c r="H30" s="217">
        <f t="shared" si="1"/>
        <v>2670000</v>
      </c>
      <c r="I30" s="257"/>
    </row>
    <row r="31" spans="1:9" x14ac:dyDescent="0.2">
      <c r="A31" s="158">
        <f t="shared" si="3"/>
        <v>10</v>
      </c>
      <c r="B31" s="156" t="s">
        <v>304</v>
      </c>
      <c r="C31" s="160">
        <v>1</v>
      </c>
      <c r="D31" s="159" t="s">
        <v>77</v>
      </c>
      <c r="E31" s="181">
        <v>1200000</v>
      </c>
      <c r="F31" s="181">
        <f t="shared" si="2"/>
        <v>1200000</v>
      </c>
      <c r="G31" s="217">
        <v>850000</v>
      </c>
      <c r="H31" s="217">
        <f t="shared" si="1"/>
        <v>850000</v>
      </c>
      <c r="I31" s="257"/>
    </row>
    <row r="32" spans="1:9" x14ac:dyDescent="0.2">
      <c r="A32" s="158">
        <f t="shared" si="3"/>
        <v>11</v>
      </c>
      <c r="B32" s="156" t="s">
        <v>142</v>
      </c>
      <c r="C32" s="160">
        <v>5000</v>
      </c>
      <c r="D32" s="159" t="s">
        <v>77</v>
      </c>
      <c r="E32" s="184">
        <v>360</v>
      </c>
      <c r="F32" s="181">
        <f t="shared" si="2"/>
        <v>1800000</v>
      </c>
      <c r="G32" s="217">
        <v>270</v>
      </c>
      <c r="H32" s="217">
        <f t="shared" si="1"/>
        <v>1350000</v>
      </c>
      <c r="I32" s="257"/>
    </row>
    <row r="33" spans="1:9" x14ac:dyDescent="0.2">
      <c r="A33" s="158">
        <f t="shared" si="3"/>
        <v>12</v>
      </c>
      <c r="B33" s="156" t="s">
        <v>133</v>
      </c>
      <c r="C33" s="160">
        <v>12500</v>
      </c>
      <c r="D33" s="159" t="s">
        <v>77</v>
      </c>
      <c r="E33" s="181">
        <v>3500</v>
      </c>
      <c r="F33" s="181">
        <f t="shared" si="2"/>
        <v>43750000</v>
      </c>
      <c r="G33" s="217">
        <v>1160</v>
      </c>
      <c r="H33" s="217">
        <f t="shared" si="1"/>
        <v>14500000</v>
      </c>
      <c r="I33" s="257"/>
    </row>
    <row r="34" spans="1:9" ht="13.5" customHeight="1" x14ac:dyDescent="0.2">
      <c r="A34" s="158">
        <f t="shared" si="3"/>
        <v>13</v>
      </c>
      <c r="B34" s="156" t="s">
        <v>188</v>
      </c>
      <c r="C34" s="160">
        <v>100</v>
      </c>
      <c r="D34" s="159" t="s">
        <v>77</v>
      </c>
      <c r="E34" s="181">
        <v>1800</v>
      </c>
      <c r="F34" s="181">
        <f t="shared" si="2"/>
        <v>180000</v>
      </c>
      <c r="G34" s="217">
        <v>147500</v>
      </c>
      <c r="H34" s="217">
        <f t="shared" si="1"/>
        <v>14750000</v>
      </c>
      <c r="I34" s="257"/>
    </row>
    <row r="35" spans="1:9" x14ac:dyDescent="0.2">
      <c r="A35" s="158">
        <f t="shared" si="3"/>
        <v>14</v>
      </c>
      <c r="B35" s="156" t="s">
        <v>124</v>
      </c>
      <c r="C35" s="160">
        <v>1</v>
      </c>
      <c r="D35" s="159" t="s">
        <v>77</v>
      </c>
      <c r="E35" s="181">
        <v>800000</v>
      </c>
      <c r="F35" s="181">
        <f t="shared" si="2"/>
        <v>800000</v>
      </c>
      <c r="G35" s="217">
        <v>226900</v>
      </c>
      <c r="H35" s="217">
        <f t="shared" si="1"/>
        <v>226900</v>
      </c>
      <c r="I35" s="257"/>
    </row>
    <row r="36" spans="1:9" x14ac:dyDescent="0.2">
      <c r="A36" s="158">
        <f t="shared" si="3"/>
        <v>15</v>
      </c>
      <c r="B36" s="161" t="s">
        <v>125</v>
      </c>
      <c r="C36" s="160">
        <v>215</v>
      </c>
      <c r="D36" s="159" t="s">
        <v>77</v>
      </c>
      <c r="E36" s="181">
        <v>5400</v>
      </c>
      <c r="F36" s="181">
        <f t="shared" si="2"/>
        <v>1161000</v>
      </c>
      <c r="G36" s="217">
        <v>12700</v>
      </c>
      <c r="H36" s="217">
        <f t="shared" si="1"/>
        <v>2730500</v>
      </c>
      <c r="I36" s="257"/>
    </row>
    <row r="37" spans="1:9" x14ac:dyDescent="0.2">
      <c r="A37" s="158">
        <f t="shared" si="3"/>
        <v>16</v>
      </c>
      <c r="B37" s="161" t="s">
        <v>126</v>
      </c>
      <c r="C37" s="160">
        <v>1</v>
      </c>
      <c r="D37" s="159" t="s">
        <v>77</v>
      </c>
      <c r="E37" s="181">
        <v>775000</v>
      </c>
      <c r="F37" s="181">
        <f t="shared" si="2"/>
        <v>775000</v>
      </c>
      <c r="G37" s="217">
        <v>415090</v>
      </c>
      <c r="H37" s="217">
        <f t="shared" si="1"/>
        <v>415090</v>
      </c>
      <c r="I37" s="257"/>
    </row>
    <row r="38" spans="1:9" x14ac:dyDescent="0.2">
      <c r="A38" s="158">
        <f t="shared" si="3"/>
        <v>17</v>
      </c>
      <c r="B38" s="161" t="s">
        <v>134</v>
      </c>
      <c r="C38" s="160">
        <v>498</v>
      </c>
      <c r="D38" s="159" t="s">
        <v>77</v>
      </c>
      <c r="E38" s="181">
        <v>4000</v>
      </c>
      <c r="F38" s="181">
        <f t="shared" si="2"/>
        <v>1992000</v>
      </c>
      <c r="G38" s="217">
        <v>11050</v>
      </c>
      <c r="H38" s="217">
        <f t="shared" si="1"/>
        <v>5502900</v>
      </c>
      <c r="I38" s="257"/>
    </row>
    <row r="39" spans="1:9" x14ac:dyDescent="0.2">
      <c r="A39" s="158">
        <f t="shared" si="3"/>
        <v>18</v>
      </c>
      <c r="B39" s="156" t="s">
        <v>83</v>
      </c>
      <c r="C39" s="160">
        <v>5</v>
      </c>
      <c r="D39" s="159" t="s">
        <v>77</v>
      </c>
      <c r="E39" s="181">
        <v>650000</v>
      </c>
      <c r="F39" s="181">
        <f t="shared" si="2"/>
        <v>3250000</v>
      </c>
      <c r="G39" s="217">
        <v>355000</v>
      </c>
      <c r="H39" s="217">
        <f t="shared" si="1"/>
        <v>1775000</v>
      </c>
      <c r="I39" s="257"/>
    </row>
    <row r="40" spans="1:9" x14ac:dyDescent="0.2">
      <c r="A40" s="158">
        <f t="shared" si="3"/>
        <v>19</v>
      </c>
      <c r="B40" s="156" t="s">
        <v>135</v>
      </c>
      <c r="C40" s="427">
        <v>5</v>
      </c>
      <c r="D40" s="159" t="s">
        <v>77</v>
      </c>
      <c r="E40" s="181">
        <v>290000</v>
      </c>
      <c r="F40" s="181">
        <f t="shared" si="2"/>
        <v>1450000</v>
      </c>
      <c r="G40" s="217">
        <v>252000</v>
      </c>
      <c r="H40" s="217">
        <f t="shared" si="1"/>
        <v>1260000</v>
      </c>
      <c r="I40" s="257"/>
    </row>
    <row r="41" spans="1:9" x14ac:dyDescent="0.2">
      <c r="A41" s="158">
        <f t="shared" si="3"/>
        <v>20</v>
      </c>
      <c r="B41" s="156" t="s">
        <v>84</v>
      </c>
      <c r="C41" s="160">
        <v>1</v>
      </c>
      <c r="D41" s="159" t="s">
        <v>77</v>
      </c>
      <c r="E41" s="181">
        <v>650000</v>
      </c>
      <c r="F41" s="181">
        <f t="shared" si="2"/>
        <v>650000</v>
      </c>
      <c r="G41" s="217">
        <v>161995</v>
      </c>
      <c r="H41" s="217">
        <f t="shared" si="1"/>
        <v>161995</v>
      </c>
      <c r="I41" s="257"/>
    </row>
    <row r="42" spans="1:9" x14ac:dyDescent="0.2">
      <c r="A42" s="158">
        <f t="shared" si="3"/>
        <v>21</v>
      </c>
      <c r="B42" s="156" t="s">
        <v>85</v>
      </c>
      <c r="C42" s="160">
        <v>1</v>
      </c>
      <c r="D42" s="159" t="s">
        <v>77</v>
      </c>
      <c r="E42" s="181">
        <v>390000</v>
      </c>
      <c r="F42" s="181">
        <f t="shared" si="2"/>
        <v>390000</v>
      </c>
      <c r="G42" s="217">
        <v>973000</v>
      </c>
      <c r="H42" s="217">
        <f t="shared" si="1"/>
        <v>973000</v>
      </c>
      <c r="I42" s="257"/>
    </row>
    <row r="43" spans="1:9" x14ac:dyDescent="0.2">
      <c r="A43" s="158">
        <f t="shared" si="3"/>
        <v>22</v>
      </c>
      <c r="B43" s="156" t="s">
        <v>86</v>
      </c>
      <c r="C43" s="160">
        <v>2</v>
      </c>
      <c r="D43" s="159" t="s">
        <v>77</v>
      </c>
      <c r="E43" s="181">
        <v>730000</v>
      </c>
      <c r="F43" s="181">
        <f t="shared" si="2"/>
        <v>1460000</v>
      </c>
      <c r="G43" s="217">
        <v>511980</v>
      </c>
      <c r="H43" s="217">
        <f t="shared" si="1"/>
        <v>1023960</v>
      </c>
      <c r="I43" s="257"/>
    </row>
    <row r="44" spans="1:9" x14ac:dyDescent="0.2">
      <c r="A44" s="158">
        <f t="shared" si="3"/>
        <v>23</v>
      </c>
      <c r="B44" s="156" t="s">
        <v>87</v>
      </c>
      <c r="C44" s="160">
        <v>1</v>
      </c>
      <c r="D44" s="159" t="s">
        <v>77</v>
      </c>
      <c r="E44" s="181">
        <v>280000</v>
      </c>
      <c r="F44" s="181">
        <f t="shared" si="2"/>
        <v>280000</v>
      </c>
      <c r="G44" s="217">
        <v>1540000</v>
      </c>
      <c r="H44" s="217">
        <f t="shared" si="1"/>
        <v>1540000</v>
      </c>
      <c r="I44" s="257"/>
    </row>
    <row r="45" spans="1:9" x14ac:dyDescent="0.2">
      <c r="A45" s="158">
        <f t="shared" si="3"/>
        <v>24</v>
      </c>
      <c r="B45" s="156" t="s">
        <v>88</v>
      </c>
      <c r="C45" s="160">
        <v>1</v>
      </c>
      <c r="D45" s="159" t="s">
        <v>77</v>
      </c>
      <c r="E45" s="181">
        <v>730000</v>
      </c>
      <c r="F45" s="181">
        <f t="shared" si="2"/>
        <v>730000</v>
      </c>
      <c r="G45" s="217">
        <v>511980</v>
      </c>
      <c r="H45" s="217">
        <f t="shared" si="1"/>
        <v>511980</v>
      </c>
      <c r="I45" s="257"/>
    </row>
    <row r="46" spans="1:9" x14ac:dyDescent="0.2">
      <c r="A46" s="158">
        <f t="shared" si="3"/>
        <v>25</v>
      </c>
      <c r="B46" s="156" t="s">
        <v>89</v>
      </c>
      <c r="C46" s="160">
        <v>2</v>
      </c>
      <c r="D46" s="159" t="s">
        <v>77</v>
      </c>
      <c r="E46" s="181">
        <v>540000</v>
      </c>
      <c r="F46" s="181">
        <f t="shared" si="2"/>
        <v>1080000</v>
      </c>
      <c r="G46" s="217">
        <v>1750000</v>
      </c>
      <c r="H46" s="217">
        <f t="shared" si="1"/>
        <v>3500000</v>
      </c>
      <c r="I46" s="257"/>
    </row>
    <row r="47" spans="1:9" x14ac:dyDescent="0.2">
      <c r="A47" s="158">
        <f>+A46+1</f>
        <v>26</v>
      </c>
      <c r="B47" s="156" t="s">
        <v>90</v>
      </c>
      <c r="C47" s="160">
        <v>1</v>
      </c>
      <c r="D47" s="159" t="s">
        <v>77</v>
      </c>
      <c r="E47" s="181">
        <v>790000</v>
      </c>
      <c r="F47" s="181">
        <f t="shared" si="2"/>
        <v>790000</v>
      </c>
      <c r="G47" s="217">
        <v>675780</v>
      </c>
      <c r="H47" s="217">
        <f t="shared" si="1"/>
        <v>675780</v>
      </c>
      <c r="I47" s="257"/>
    </row>
    <row r="48" spans="1:9" x14ac:dyDescent="0.2">
      <c r="A48" s="158">
        <f t="shared" si="3"/>
        <v>27</v>
      </c>
      <c r="B48" s="156" t="s">
        <v>91</v>
      </c>
      <c r="C48" s="160">
        <v>1</v>
      </c>
      <c r="D48" s="159" t="s">
        <v>77</v>
      </c>
      <c r="E48" s="181" t="s">
        <v>190</v>
      </c>
      <c r="F48" s="181" t="s">
        <v>190</v>
      </c>
      <c r="G48" s="217">
        <v>2380000</v>
      </c>
      <c r="H48" s="217">
        <f t="shared" si="1"/>
        <v>2380000</v>
      </c>
      <c r="I48" s="257"/>
    </row>
    <row r="49" spans="1:9" x14ac:dyDescent="0.2">
      <c r="A49" s="158">
        <f t="shared" si="3"/>
        <v>28</v>
      </c>
      <c r="B49" s="156" t="s">
        <v>92</v>
      </c>
      <c r="C49" s="160">
        <v>1</v>
      </c>
      <c r="D49" s="159" t="s">
        <v>77</v>
      </c>
      <c r="E49" s="181">
        <v>920000</v>
      </c>
      <c r="F49" s="181">
        <f>+E49*C49</f>
        <v>920000</v>
      </c>
      <c r="G49" s="217">
        <v>675780</v>
      </c>
      <c r="H49" s="217">
        <f t="shared" si="1"/>
        <v>675780</v>
      </c>
      <c r="I49" s="257"/>
    </row>
    <row r="50" spans="1:9" x14ac:dyDescent="0.2">
      <c r="A50" s="158">
        <f t="shared" si="3"/>
        <v>29</v>
      </c>
      <c r="B50" s="156" t="s">
        <v>93</v>
      </c>
      <c r="C50" s="160">
        <v>1</v>
      </c>
      <c r="D50" s="159" t="s">
        <v>77</v>
      </c>
      <c r="E50" s="181" t="s">
        <v>190</v>
      </c>
      <c r="F50" s="181" t="s">
        <v>190</v>
      </c>
      <c r="G50" s="217">
        <v>4480000</v>
      </c>
      <c r="H50" s="217">
        <f t="shared" si="1"/>
        <v>4480000</v>
      </c>
      <c r="I50" s="257"/>
    </row>
    <row r="51" spans="1:9" x14ac:dyDescent="0.2">
      <c r="A51" s="158">
        <f t="shared" si="3"/>
        <v>30</v>
      </c>
      <c r="B51" s="156" t="s">
        <v>94</v>
      </c>
      <c r="C51" s="160">
        <v>2</v>
      </c>
      <c r="D51" s="159" t="s">
        <v>77</v>
      </c>
      <c r="E51" s="181">
        <v>920000</v>
      </c>
      <c r="F51" s="181">
        <f>+E51*C51</f>
        <v>1840000</v>
      </c>
      <c r="G51" s="217">
        <v>675780</v>
      </c>
      <c r="H51" s="217">
        <f t="shared" si="1"/>
        <v>1351560</v>
      </c>
      <c r="I51" s="257"/>
    </row>
    <row r="52" spans="1:9" x14ac:dyDescent="0.2">
      <c r="A52" s="158">
        <f t="shared" si="3"/>
        <v>31</v>
      </c>
      <c r="B52" s="156" t="s">
        <v>95</v>
      </c>
      <c r="C52" s="160">
        <v>2</v>
      </c>
      <c r="D52" s="159" t="s">
        <v>77</v>
      </c>
      <c r="E52" s="181" t="s">
        <v>190</v>
      </c>
      <c r="F52" s="181" t="s">
        <v>190</v>
      </c>
      <c r="G52" s="217">
        <v>4760000</v>
      </c>
      <c r="H52" s="217">
        <f t="shared" si="1"/>
        <v>9520000</v>
      </c>
      <c r="I52" s="257"/>
    </row>
    <row r="53" spans="1:9" hidden="1" x14ac:dyDescent="0.2">
      <c r="A53" s="158">
        <f t="shared" si="3"/>
        <v>32</v>
      </c>
      <c r="B53" s="156" t="s">
        <v>96</v>
      </c>
      <c r="C53" s="160">
        <v>1</v>
      </c>
      <c r="D53" s="159" t="s">
        <v>77</v>
      </c>
      <c r="E53" s="181"/>
      <c r="F53" s="181">
        <f t="shared" ref="F53:F58" si="4">+E53*C53</f>
        <v>0</v>
      </c>
      <c r="G53" s="217">
        <v>0</v>
      </c>
      <c r="H53" s="217">
        <f t="shared" si="1"/>
        <v>0</v>
      </c>
      <c r="I53" s="257"/>
    </row>
    <row r="54" spans="1:9" hidden="1" x14ac:dyDescent="0.2">
      <c r="A54" s="158">
        <f t="shared" si="3"/>
        <v>33</v>
      </c>
      <c r="B54" s="156" t="s">
        <v>97</v>
      </c>
      <c r="C54" s="160">
        <v>1</v>
      </c>
      <c r="D54" s="159" t="s">
        <v>77</v>
      </c>
      <c r="E54" s="181"/>
      <c r="F54" s="181">
        <f t="shared" si="4"/>
        <v>0</v>
      </c>
      <c r="G54" s="217">
        <v>0</v>
      </c>
      <c r="H54" s="217">
        <f t="shared" si="1"/>
        <v>0</v>
      </c>
      <c r="I54" s="257"/>
    </row>
    <row r="55" spans="1:9" hidden="1" x14ac:dyDescent="0.2">
      <c r="A55" s="158">
        <f t="shared" si="3"/>
        <v>34</v>
      </c>
      <c r="B55" s="156" t="s">
        <v>98</v>
      </c>
      <c r="C55" s="160">
        <v>1</v>
      </c>
      <c r="D55" s="159" t="s">
        <v>77</v>
      </c>
      <c r="E55" s="181"/>
      <c r="F55" s="181">
        <f t="shared" si="4"/>
        <v>0</v>
      </c>
      <c r="G55" s="217">
        <v>0</v>
      </c>
      <c r="H55" s="217">
        <f t="shared" si="1"/>
        <v>0</v>
      </c>
      <c r="I55" s="257"/>
    </row>
    <row r="56" spans="1:9" hidden="1" x14ac:dyDescent="0.2">
      <c r="A56" s="158">
        <f t="shared" si="3"/>
        <v>35</v>
      </c>
      <c r="B56" s="156" t="s">
        <v>99</v>
      </c>
      <c r="C56" s="160">
        <v>1</v>
      </c>
      <c r="D56" s="159" t="s">
        <v>77</v>
      </c>
      <c r="E56" s="181"/>
      <c r="F56" s="181">
        <f t="shared" si="4"/>
        <v>0</v>
      </c>
      <c r="G56" s="217">
        <v>0</v>
      </c>
      <c r="H56" s="217">
        <f t="shared" si="1"/>
        <v>0</v>
      </c>
      <c r="I56" s="257"/>
    </row>
    <row r="57" spans="1:9" hidden="1" x14ac:dyDescent="0.2">
      <c r="A57" s="158">
        <f t="shared" si="3"/>
        <v>36</v>
      </c>
      <c r="B57" s="156" t="s">
        <v>100</v>
      </c>
      <c r="C57" s="160">
        <v>1</v>
      </c>
      <c r="D57" s="159" t="s">
        <v>77</v>
      </c>
      <c r="E57" s="181"/>
      <c r="F57" s="181">
        <f t="shared" si="4"/>
        <v>0</v>
      </c>
      <c r="G57" s="217">
        <v>0</v>
      </c>
      <c r="H57" s="217">
        <f t="shared" si="1"/>
        <v>0</v>
      </c>
      <c r="I57" s="257"/>
    </row>
    <row r="58" spans="1:9" x14ac:dyDescent="0.2">
      <c r="A58" s="158">
        <v>32</v>
      </c>
      <c r="B58" s="156" t="s">
        <v>155</v>
      </c>
      <c r="C58" s="160">
        <v>12500</v>
      </c>
      <c r="D58" s="159" t="s">
        <v>77</v>
      </c>
      <c r="E58" s="181">
        <v>3200</v>
      </c>
      <c r="F58" s="181">
        <f t="shared" si="4"/>
        <v>40000000</v>
      </c>
      <c r="G58" s="217">
        <v>4900</v>
      </c>
      <c r="H58" s="217">
        <f t="shared" si="1"/>
        <v>61250000</v>
      </c>
      <c r="I58" s="257"/>
    </row>
    <row r="59" spans="1:9" x14ac:dyDescent="0.2">
      <c r="A59" s="271"/>
      <c r="B59" s="540" t="s">
        <v>257</v>
      </c>
      <c r="C59" s="541"/>
      <c r="D59" s="541"/>
      <c r="E59" s="541"/>
      <c r="F59" s="542"/>
      <c r="G59" s="279"/>
      <c r="H59" s="217">
        <f t="shared" si="1"/>
        <v>0</v>
      </c>
      <c r="I59" s="257"/>
    </row>
    <row r="60" spans="1:9" x14ac:dyDescent="0.2">
      <c r="A60" s="158">
        <v>1</v>
      </c>
      <c r="B60" s="156" t="s">
        <v>163</v>
      </c>
      <c r="C60" s="160">
        <v>1</v>
      </c>
      <c r="D60" s="159" t="s">
        <v>77</v>
      </c>
      <c r="E60" s="181">
        <v>1200000</v>
      </c>
      <c r="F60" s="181">
        <v>1200000</v>
      </c>
      <c r="G60" s="252">
        <v>476050</v>
      </c>
      <c r="H60" s="217">
        <f t="shared" si="1"/>
        <v>476050</v>
      </c>
      <c r="I60" s="257"/>
    </row>
    <row r="61" spans="1:9" x14ac:dyDescent="0.2">
      <c r="A61" s="158">
        <v>2</v>
      </c>
      <c r="B61" s="156" t="s">
        <v>164</v>
      </c>
      <c r="C61" s="160">
        <v>12500</v>
      </c>
      <c r="D61" s="159" t="s">
        <v>77</v>
      </c>
      <c r="E61" s="181">
        <v>270</v>
      </c>
      <c r="F61" s="181">
        <f>+E61*C61</f>
        <v>3375000</v>
      </c>
      <c r="G61" s="252">
        <v>605</v>
      </c>
      <c r="H61" s="217">
        <f t="shared" si="1"/>
        <v>7562500</v>
      </c>
      <c r="I61" s="257"/>
    </row>
    <row r="62" spans="1:9" ht="25.5" x14ac:dyDescent="0.2">
      <c r="A62" s="158">
        <v>3</v>
      </c>
      <c r="B62" s="156" t="s">
        <v>167</v>
      </c>
      <c r="C62" s="160">
        <v>1</v>
      </c>
      <c r="D62" s="159" t="s">
        <v>77</v>
      </c>
      <c r="E62" s="181">
        <v>2500000</v>
      </c>
      <c r="F62" s="181">
        <v>2500000</v>
      </c>
      <c r="G62" s="252">
        <v>760725</v>
      </c>
      <c r="H62" s="217">
        <f t="shared" si="1"/>
        <v>760725</v>
      </c>
      <c r="I62" s="257"/>
    </row>
    <row r="63" spans="1:9" ht="25.5" x14ac:dyDescent="0.2">
      <c r="A63" s="158">
        <v>4</v>
      </c>
      <c r="B63" s="156" t="s">
        <v>168</v>
      </c>
      <c r="C63" s="160">
        <v>12500</v>
      </c>
      <c r="D63" s="159" t="s">
        <v>77</v>
      </c>
      <c r="E63" s="181">
        <v>2800</v>
      </c>
      <c r="F63" s="181">
        <f>+E63*C63</f>
        <v>35000000</v>
      </c>
      <c r="G63" s="252">
        <v>372</v>
      </c>
      <c r="H63" s="217">
        <f t="shared" si="1"/>
        <v>4650000</v>
      </c>
      <c r="I63" s="257"/>
    </row>
    <row r="64" spans="1:9" x14ac:dyDescent="0.2">
      <c r="A64" s="271"/>
      <c r="B64" s="272" t="s">
        <v>258</v>
      </c>
      <c r="C64" s="422"/>
      <c r="D64" s="272"/>
      <c r="E64" s="273"/>
      <c r="F64" s="273"/>
      <c r="G64" s="281"/>
      <c r="H64" s="217">
        <f t="shared" si="1"/>
        <v>0</v>
      </c>
      <c r="I64" s="257"/>
    </row>
    <row r="65" spans="1:9" x14ac:dyDescent="0.2">
      <c r="A65" s="158">
        <v>1</v>
      </c>
      <c r="B65" s="156" t="s">
        <v>253</v>
      </c>
      <c r="C65" s="160">
        <v>1</v>
      </c>
      <c r="D65" s="159" t="s">
        <v>106</v>
      </c>
      <c r="E65" s="181">
        <v>3200000</v>
      </c>
      <c r="F65" s="181">
        <f>+E65*C65</f>
        <v>3200000</v>
      </c>
      <c r="G65" s="252">
        <v>21890000</v>
      </c>
      <c r="H65" s="217">
        <f t="shared" si="1"/>
        <v>21890000</v>
      </c>
      <c r="I65" s="257"/>
    </row>
    <row r="66" spans="1:9" x14ac:dyDescent="0.2">
      <c r="A66" s="158">
        <v>2</v>
      </c>
      <c r="B66" s="156" t="s">
        <v>665</v>
      </c>
      <c r="C66" s="160">
        <v>1</v>
      </c>
      <c r="D66" s="159" t="s">
        <v>119</v>
      </c>
      <c r="E66" s="181">
        <v>15600000</v>
      </c>
      <c r="F66" s="181">
        <f>+E66*C66</f>
        <v>15600000</v>
      </c>
      <c r="G66" s="252">
        <v>49000000</v>
      </c>
      <c r="H66" s="217">
        <f t="shared" si="1"/>
        <v>49000000</v>
      </c>
      <c r="I66" s="257"/>
    </row>
    <row r="67" spans="1:9" x14ac:dyDescent="0.2">
      <c r="A67" s="158">
        <v>3</v>
      </c>
      <c r="B67" s="156" t="s">
        <v>120</v>
      </c>
      <c r="C67" s="160">
        <v>4000</v>
      </c>
      <c r="D67" s="159" t="s">
        <v>108</v>
      </c>
      <c r="E67" s="181">
        <v>900</v>
      </c>
      <c r="F67" s="181">
        <f>+E67*C67</f>
        <v>3600000</v>
      </c>
      <c r="G67" s="252">
        <v>3000</v>
      </c>
      <c r="H67" s="217">
        <f t="shared" si="1"/>
        <v>12000000</v>
      </c>
      <c r="I67" s="257"/>
    </row>
    <row r="68" spans="1:9" x14ac:dyDescent="0.2">
      <c r="A68" s="266"/>
      <c r="B68" s="272" t="s">
        <v>254</v>
      </c>
      <c r="C68" s="428"/>
      <c r="D68" s="265"/>
      <c r="E68" s="268"/>
      <c r="F68" s="268"/>
      <c r="G68" s="279"/>
      <c r="H68" s="217">
        <f t="shared" si="1"/>
        <v>0</v>
      </c>
      <c r="I68" s="257"/>
    </row>
    <row r="69" spans="1:9" x14ac:dyDescent="0.2">
      <c r="A69" s="146">
        <v>1</v>
      </c>
      <c r="B69" s="147" t="s">
        <v>162</v>
      </c>
      <c r="C69" s="427">
        <v>1</v>
      </c>
      <c r="D69" s="166" t="s">
        <v>77</v>
      </c>
      <c r="E69" s="184">
        <v>100000000</v>
      </c>
      <c r="F69" s="181">
        <v>100000000</v>
      </c>
      <c r="G69" s="217">
        <v>95500000</v>
      </c>
      <c r="H69" s="217">
        <f t="shared" si="1"/>
        <v>95500000</v>
      </c>
      <c r="I69" s="257"/>
    </row>
    <row r="70" spans="1:9" x14ac:dyDescent="0.2">
      <c r="A70" s="275"/>
      <c r="B70" s="283" t="s">
        <v>255</v>
      </c>
      <c r="C70" s="429"/>
      <c r="D70" s="283"/>
      <c r="E70" s="273"/>
      <c r="F70" s="273"/>
      <c r="G70" s="281"/>
      <c r="H70" s="217">
        <f t="shared" si="1"/>
        <v>0</v>
      </c>
      <c r="I70" s="257"/>
    </row>
    <row r="71" spans="1:9" x14ac:dyDescent="0.2">
      <c r="A71" s="146">
        <v>1</v>
      </c>
      <c r="B71" s="156" t="s">
        <v>103</v>
      </c>
      <c r="C71" s="160">
        <v>10</v>
      </c>
      <c r="D71" s="154" t="s">
        <v>105</v>
      </c>
      <c r="E71" s="184">
        <v>35000000</v>
      </c>
      <c r="F71" s="181">
        <f>C71*E71</f>
        <v>350000000</v>
      </c>
      <c r="G71" s="252">
        <v>8690000</v>
      </c>
      <c r="H71" s="217">
        <f t="shared" si="1"/>
        <v>86900000</v>
      </c>
      <c r="I71" s="257"/>
    </row>
    <row r="72" spans="1:9" x14ac:dyDescent="0.2">
      <c r="A72" s="284"/>
      <c r="B72" s="283" t="s">
        <v>245</v>
      </c>
      <c r="C72" s="430"/>
      <c r="D72" s="264"/>
      <c r="E72" s="286"/>
      <c r="F72" s="286"/>
      <c r="G72" s="281">
        <f>+SUM(G12:G71)</f>
        <v>363711249</v>
      </c>
      <c r="H72" s="281">
        <f t="shared" ref="H72:I72" si="5">+SUM(H12:H71)</f>
        <v>1437132490</v>
      </c>
      <c r="I72" s="281">
        <f t="shared" si="5"/>
        <v>0</v>
      </c>
    </row>
    <row r="73" spans="1:9" hidden="1" x14ac:dyDescent="0.2">
      <c r="A73" s="270"/>
      <c r="B73" s="287" t="s">
        <v>244</v>
      </c>
      <c r="C73" s="431"/>
      <c r="D73" s="287"/>
      <c r="E73" s="268"/>
      <c r="F73" s="268"/>
      <c r="G73" s="279">
        <f>+[3]C01_INICIAL!F88</f>
        <v>0</v>
      </c>
      <c r="H73" s="279"/>
    </row>
    <row r="74" spans="1:9" hidden="1" x14ac:dyDescent="0.2">
      <c r="A74" s="288"/>
      <c r="B74" s="282" t="s">
        <v>246</v>
      </c>
      <c r="C74" s="432">
        <v>10</v>
      </c>
      <c r="D74" s="269" t="s">
        <v>105</v>
      </c>
      <c r="E74" s="290"/>
      <c r="F74" s="290"/>
      <c r="G74" s="291" t="e">
        <f>+(#REF!*0.1)</f>
        <v>#REF!</v>
      </c>
      <c r="H74" s="279"/>
    </row>
    <row r="75" spans="1:9" x14ac:dyDescent="0.2">
      <c r="A75" s="284"/>
      <c r="B75" s="283" t="s">
        <v>248</v>
      </c>
      <c r="C75" s="430"/>
      <c r="D75" s="264"/>
      <c r="E75" s="286"/>
      <c r="F75" s="286"/>
      <c r="G75" s="292"/>
      <c r="H75" s="281">
        <f>+H72/1.16</f>
        <v>1238907318.9655173</v>
      </c>
    </row>
    <row r="76" spans="1:9" x14ac:dyDescent="0.2">
      <c r="A76" s="288"/>
      <c r="B76" s="282" t="s">
        <v>661</v>
      </c>
      <c r="C76" s="432">
        <v>10</v>
      </c>
      <c r="D76" s="269"/>
      <c r="E76" s="290"/>
      <c r="F76" s="290"/>
      <c r="G76" s="433">
        <v>5000000</v>
      </c>
      <c r="H76" s="279">
        <f>C76*G76</f>
        <v>50000000</v>
      </c>
    </row>
    <row r="77" spans="1:9" x14ac:dyDescent="0.2">
      <c r="A77" s="288"/>
      <c r="B77" s="282" t="s">
        <v>249</v>
      </c>
      <c r="C77" s="432"/>
      <c r="D77" s="269"/>
      <c r="E77" s="290"/>
      <c r="F77" s="290"/>
      <c r="G77" s="279"/>
      <c r="H77" s="279">
        <f>+H76+H75</f>
        <v>1288907318.9655173</v>
      </c>
    </row>
    <row r="78" spans="1:9" x14ac:dyDescent="0.2">
      <c r="A78" s="258"/>
      <c r="B78" s="259" t="s">
        <v>250</v>
      </c>
      <c r="C78" s="434"/>
      <c r="D78" s="139"/>
      <c r="E78" s="261"/>
      <c r="F78" s="261"/>
      <c r="G78" s="262"/>
      <c r="H78" s="262">
        <f>+H77*1.16</f>
        <v>1495132490</v>
      </c>
    </row>
    <row r="79" spans="1:9" x14ac:dyDescent="0.2">
      <c r="I79" s="188"/>
    </row>
    <row r="80" spans="1:9" x14ac:dyDescent="0.2">
      <c r="B80" s="555"/>
      <c r="C80" s="555"/>
      <c r="D80" s="555"/>
      <c r="E80" s="555"/>
      <c r="F80" s="555"/>
      <c r="G80" s="555"/>
      <c r="H80" s="555"/>
    </row>
    <row r="81" spans="2:8" x14ac:dyDescent="0.2">
      <c r="B81" s="555"/>
      <c r="C81" s="555"/>
      <c r="D81" s="555"/>
      <c r="E81" s="555"/>
      <c r="F81" s="555"/>
      <c r="G81" s="555"/>
      <c r="H81" s="555"/>
    </row>
    <row r="82" spans="2:8" x14ac:dyDescent="0.2">
      <c r="B82" s="555"/>
      <c r="C82" s="555"/>
      <c r="D82" s="555"/>
      <c r="E82" s="555"/>
      <c r="F82" s="555"/>
      <c r="G82" s="555"/>
      <c r="H82" s="555"/>
    </row>
    <row r="83" spans="2:8" x14ac:dyDescent="0.2">
      <c r="B83" s="555"/>
      <c r="C83" s="555"/>
      <c r="D83" s="555"/>
      <c r="E83" s="555"/>
      <c r="F83" s="555"/>
      <c r="G83" s="555"/>
      <c r="H83" s="555"/>
    </row>
    <row r="84" spans="2:8" x14ac:dyDescent="0.2">
      <c r="B84" s="555"/>
      <c r="C84" s="555"/>
      <c r="D84" s="555"/>
      <c r="E84" s="555"/>
      <c r="F84" s="555"/>
      <c r="G84" s="555"/>
      <c r="H84" s="555"/>
    </row>
    <row r="85" spans="2:8" x14ac:dyDescent="0.2">
      <c r="B85" s="555"/>
      <c r="C85" s="555"/>
      <c r="D85" s="555"/>
      <c r="E85" s="555"/>
      <c r="F85" s="555"/>
      <c r="G85" s="555"/>
      <c r="H85" s="555"/>
    </row>
    <row r="86" spans="2:8" x14ac:dyDescent="0.2">
      <c r="B86" s="555"/>
      <c r="C86" s="555"/>
      <c r="D86" s="555"/>
      <c r="E86" s="555"/>
      <c r="F86" s="555"/>
      <c r="G86" s="555"/>
      <c r="H86" s="555"/>
    </row>
    <row r="87" spans="2:8" x14ac:dyDescent="0.2">
      <c r="B87" s="555"/>
      <c r="C87" s="555"/>
      <c r="D87" s="555"/>
      <c r="E87" s="555"/>
      <c r="F87" s="555"/>
      <c r="G87" s="555"/>
      <c r="H87" s="555"/>
    </row>
  </sheetData>
  <mergeCells count="4">
    <mergeCell ref="A8:H8"/>
    <mergeCell ref="A9:B9"/>
    <mergeCell ref="B59:F59"/>
    <mergeCell ref="B80:H87"/>
  </mergeCells>
  <pageMargins left="0.25" right="0.25" top="0.75" bottom="0.75" header="0.3" footer="0.3"/>
  <pageSetup scale="87" fitToHeight="0" orientation="landscape" r:id="rId1"/>
  <rowBreaks count="1" manualBreakCount="1">
    <brk id="63"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workbookViewId="0">
      <selection activeCell="B14" sqref="B14"/>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545" t="s">
        <v>102</v>
      </c>
      <c r="B8" s="545"/>
      <c r="C8" s="545"/>
      <c r="D8" s="545"/>
      <c r="E8" s="545"/>
      <c r="F8" s="545"/>
      <c r="G8" s="545"/>
    </row>
    <row r="9" spans="1:7" ht="51" x14ac:dyDescent="0.2">
      <c r="A9" s="546" t="s">
        <v>62</v>
      </c>
      <c r="B9" s="547"/>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304">
        <v>12000000</v>
      </c>
      <c r="G12" s="209">
        <f>+F12*C12</f>
        <v>36000000</v>
      </c>
    </row>
    <row r="13" spans="1:7" ht="99" customHeight="1" x14ac:dyDescent="0.2">
      <c r="A13" s="150" t="s">
        <v>171</v>
      </c>
      <c r="B13" s="147" t="s">
        <v>128</v>
      </c>
      <c r="C13" s="148">
        <v>2</v>
      </c>
      <c r="D13" s="148" t="s">
        <v>111</v>
      </c>
      <c r="E13" s="149" t="s">
        <v>132</v>
      </c>
      <c r="F13" s="304">
        <v>12000000</v>
      </c>
      <c r="G13" s="209">
        <f t="shared" ref="G13:G76" si="0">+F13*C13</f>
        <v>24000000</v>
      </c>
    </row>
    <row r="14" spans="1:7" ht="162" customHeight="1" x14ac:dyDescent="0.2">
      <c r="A14" s="150" t="s">
        <v>171</v>
      </c>
      <c r="B14" s="147" t="s">
        <v>186</v>
      </c>
      <c r="C14" s="148">
        <v>5</v>
      </c>
      <c r="D14" s="148" t="s">
        <v>110</v>
      </c>
      <c r="E14" s="149" t="s">
        <v>136</v>
      </c>
      <c r="F14" s="304">
        <v>9000000</v>
      </c>
      <c r="G14" s="209">
        <f t="shared" si="0"/>
        <v>45000000</v>
      </c>
    </row>
    <row r="15" spans="1:7" ht="162.75" customHeight="1" x14ac:dyDescent="0.2">
      <c r="A15" s="146" t="s">
        <v>171</v>
      </c>
      <c r="B15" s="147" t="s">
        <v>187</v>
      </c>
      <c r="C15" s="148">
        <v>5</v>
      </c>
      <c r="D15" s="148" t="s">
        <v>110</v>
      </c>
      <c r="E15" s="149" t="s">
        <v>112</v>
      </c>
      <c r="F15" s="304">
        <v>7000000</v>
      </c>
      <c r="G15" s="209">
        <f t="shared" si="0"/>
        <v>35000000</v>
      </c>
    </row>
    <row r="16" spans="1:7" ht="25.5" x14ac:dyDescent="0.2">
      <c r="A16" s="146" t="s">
        <v>172</v>
      </c>
      <c r="B16" s="147" t="s">
        <v>113</v>
      </c>
      <c r="C16" s="148">
        <v>6</v>
      </c>
      <c r="D16" s="148" t="s">
        <v>114</v>
      </c>
      <c r="E16" s="149" t="s">
        <v>115</v>
      </c>
      <c r="F16" s="304">
        <v>20000000</v>
      </c>
      <c r="G16" s="209">
        <f t="shared" si="0"/>
        <v>120000000</v>
      </c>
    </row>
    <row r="17" spans="1:7" ht="43.5" customHeight="1" x14ac:dyDescent="0.2">
      <c r="A17" s="146" t="s">
        <v>173</v>
      </c>
      <c r="B17" s="147" t="s">
        <v>107</v>
      </c>
      <c r="C17" s="151">
        <v>16</v>
      </c>
      <c r="D17" s="148" t="s">
        <v>123</v>
      </c>
      <c r="E17" s="149" t="s">
        <v>116</v>
      </c>
      <c r="F17" s="304">
        <v>15000000</v>
      </c>
      <c r="G17" s="209">
        <f t="shared" si="0"/>
        <v>240000000</v>
      </c>
    </row>
    <row r="18" spans="1:7" ht="285.75" customHeight="1" x14ac:dyDescent="0.2">
      <c r="A18" s="152" t="s">
        <v>174</v>
      </c>
      <c r="B18" s="147" t="s">
        <v>151</v>
      </c>
      <c r="C18" s="148">
        <v>2</v>
      </c>
      <c r="D18" s="148" t="s">
        <v>145</v>
      </c>
      <c r="E18" s="149" t="s">
        <v>152</v>
      </c>
      <c r="F18" s="304">
        <v>5000000</v>
      </c>
      <c r="G18" s="209">
        <f t="shared" si="0"/>
        <v>10000000</v>
      </c>
    </row>
    <row r="19" spans="1:7" ht="270" customHeight="1" x14ac:dyDescent="0.2">
      <c r="A19" s="152">
        <v>2.4</v>
      </c>
      <c r="B19" s="147" t="s">
        <v>176</v>
      </c>
      <c r="C19" s="148">
        <v>2</v>
      </c>
      <c r="D19" s="148" t="s">
        <v>145</v>
      </c>
      <c r="E19" s="149" t="s">
        <v>175</v>
      </c>
      <c r="F19" s="304">
        <v>5000000</v>
      </c>
      <c r="G19" s="209">
        <f t="shared" si="0"/>
        <v>10000000</v>
      </c>
    </row>
    <row r="20" spans="1:7" ht="270" customHeight="1" thickBot="1" x14ac:dyDescent="0.25">
      <c r="A20" s="152">
        <v>2.4</v>
      </c>
      <c r="B20" s="147" t="s">
        <v>153</v>
      </c>
      <c r="C20" s="148">
        <v>2</v>
      </c>
      <c r="D20" s="148" t="s">
        <v>145</v>
      </c>
      <c r="E20" s="149" t="s">
        <v>154</v>
      </c>
      <c r="F20" s="305">
        <v>5000000</v>
      </c>
      <c r="G20" s="209">
        <f t="shared" si="0"/>
        <v>10000000</v>
      </c>
    </row>
    <row r="21" spans="1:7" ht="55.5" customHeight="1" x14ac:dyDescent="0.2">
      <c r="A21" s="152">
        <v>2</v>
      </c>
      <c r="B21" s="147" t="s">
        <v>144</v>
      </c>
      <c r="C21" s="147">
        <v>10</v>
      </c>
      <c r="D21" s="147" t="s">
        <v>145</v>
      </c>
      <c r="E21" s="147" t="s">
        <v>146</v>
      </c>
      <c r="F21" s="306">
        <v>150000</v>
      </c>
      <c r="G21" s="209">
        <f t="shared" si="0"/>
        <v>1500000</v>
      </c>
    </row>
    <row r="22" spans="1:7" ht="216.75" customHeight="1" x14ac:dyDescent="0.2">
      <c r="A22" s="152">
        <v>2.1</v>
      </c>
      <c r="B22" s="147" t="s">
        <v>203</v>
      </c>
      <c r="C22" s="147">
        <v>48</v>
      </c>
      <c r="D22" s="147" t="s">
        <v>145</v>
      </c>
      <c r="E22" s="147" t="s">
        <v>147</v>
      </c>
      <c r="F22" s="307">
        <v>600000</v>
      </c>
      <c r="G22" s="209">
        <f t="shared" si="0"/>
        <v>28800000</v>
      </c>
    </row>
    <row r="23" spans="1:7" ht="68.25" customHeight="1" x14ac:dyDescent="0.2">
      <c r="A23" s="152">
        <v>2.1</v>
      </c>
      <c r="B23" s="147" t="s">
        <v>148</v>
      </c>
      <c r="C23" s="147">
        <v>8</v>
      </c>
      <c r="D23" s="147" t="s">
        <v>145</v>
      </c>
      <c r="E23" s="147" t="s">
        <v>66</v>
      </c>
      <c r="F23" s="304">
        <v>300000</v>
      </c>
      <c r="G23" s="209">
        <f t="shared" si="0"/>
        <v>2400000</v>
      </c>
    </row>
    <row r="24" spans="1:7" x14ac:dyDescent="0.2">
      <c r="A24" s="548">
        <v>2.1</v>
      </c>
      <c r="B24" s="551" t="s">
        <v>67</v>
      </c>
      <c r="C24" s="153">
        <v>8</v>
      </c>
      <c r="D24" s="154" t="s">
        <v>145</v>
      </c>
      <c r="E24" s="155" t="s">
        <v>68</v>
      </c>
      <c r="F24" s="304">
        <v>50000</v>
      </c>
      <c r="G24" s="209">
        <f t="shared" si="0"/>
        <v>400000</v>
      </c>
    </row>
    <row r="25" spans="1:7" x14ac:dyDescent="0.2">
      <c r="A25" s="549"/>
      <c r="B25" s="551"/>
      <c r="C25" s="153">
        <v>8</v>
      </c>
      <c r="D25" s="154" t="s">
        <v>145</v>
      </c>
      <c r="E25" s="155" t="s">
        <v>69</v>
      </c>
      <c r="F25" s="304">
        <v>30000</v>
      </c>
      <c r="G25" s="209">
        <f t="shared" si="0"/>
        <v>240000</v>
      </c>
    </row>
    <row r="26" spans="1:7" x14ac:dyDescent="0.2">
      <c r="A26" s="550"/>
      <c r="B26" s="551"/>
      <c r="C26" s="153">
        <v>8</v>
      </c>
      <c r="D26" s="154" t="s">
        <v>145</v>
      </c>
      <c r="E26" s="155" t="s">
        <v>70</v>
      </c>
      <c r="F26" s="304">
        <v>30000</v>
      </c>
      <c r="G26" s="209">
        <f t="shared" si="0"/>
        <v>240000</v>
      </c>
    </row>
    <row r="27" spans="1:7" x14ac:dyDescent="0.2">
      <c r="A27" s="152">
        <v>2.1</v>
      </c>
      <c r="B27" s="156" t="s">
        <v>71</v>
      </c>
      <c r="C27" s="154">
        <v>8</v>
      </c>
      <c r="D27" s="154" t="s">
        <v>145</v>
      </c>
      <c r="E27" s="156" t="s">
        <v>72</v>
      </c>
      <c r="F27" s="304">
        <v>460000</v>
      </c>
      <c r="G27" s="209">
        <f t="shared" si="0"/>
        <v>3680000</v>
      </c>
    </row>
    <row r="28" spans="1:7" ht="15.75" customHeight="1" x14ac:dyDescent="0.2">
      <c r="A28" s="152">
        <v>2.1</v>
      </c>
      <c r="B28" s="156" t="s">
        <v>71</v>
      </c>
      <c r="C28" s="154">
        <v>8</v>
      </c>
      <c r="D28" s="154" t="s">
        <v>145</v>
      </c>
      <c r="E28" s="156" t="s">
        <v>72</v>
      </c>
      <c r="F28" s="304">
        <v>460000</v>
      </c>
      <c r="G28" s="209">
        <f t="shared" si="0"/>
        <v>3680000</v>
      </c>
    </row>
    <row r="29" spans="1:7" x14ac:dyDescent="0.2">
      <c r="A29" s="152">
        <v>2.1</v>
      </c>
      <c r="B29" s="157" t="s">
        <v>73</v>
      </c>
      <c r="C29" s="151">
        <v>8</v>
      </c>
      <c r="D29" s="151" t="s">
        <v>75</v>
      </c>
      <c r="E29" s="162" t="s">
        <v>74</v>
      </c>
      <c r="F29" s="304">
        <v>40000</v>
      </c>
      <c r="G29" s="209">
        <f t="shared" si="0"/>
        <v>320000</v>
      </c>
    </row>
    <row r="30" spans="1:7" x14ac:dyDescent="0.2">
      <c r="A30" s="143"/>
      <c r="B30" s="142" t="s">
        <v>177</v>
      </c>
      <c r="C30" s="144"/>
      <c r="D30" s="142"/>
      <c r="E30" s="145"/>
      <c r="F30" s="145"/>
      <c r="G30" s="197"/>
    </row>
    <row r="31" spans="1:7" x14ac:dyDescent="0.2">
      <c r="A31" s="158">
        <v>1</v>
      </c>
      <c r="B31" s="156" t="s">
        <v>78</v>
      </c>
      <c r="C31" s="151">
        <v>1</v>
      </c>
      <c r="D31" s="159" t="s">
        <v>77</v>
      </c>
      <c r="E31" s="162"/>
      <c r="F31" s="304">
        <v>500000</v>
      </c>
      <c r="G31" s="209">
        <f t="shared" si="0"/>
        <v>500000</v>
      </c>
    </row>
    <row r="32" spans="1:7" x14ac:dyDescent="0.2">
      <c r="A32" s="158">
        <f t="shared" ref="A32:A67" si="1">+A31+1</f>
        <v>2</v>
      </c>
      <c r="B32" s="156" t="s">
        <v>79</v>
      </c>
      <c r="C32" s="160">
        <v>30000</v>
      </c>
      <c r="D32" s="159" t="s">
        <v>77</v>
      </c>
      <c r="E32" s="162"/>
      <c r="F32" s="304">
        <v>300</v>
      </c>
      <c r="G32" s="209">
        <f t="shared" si="0"/>
        <v>9000000</v>
      </c>
    </row>
    <row r="33" spans="1:7" x14ac:dyDescent="0.2">
      <c r="A33" s="158">
        <f t="shared" si="1"/>
        <v>3</v>
      </c>
      <c r="B33" s="156" t="s">
        <v>80</v>
      </c>
      <c r="C33" s="151">
        <v>1</v>
      </c>
      <c r="D33" s="159" t="s">
        <v>77</v>
      </c>
      <c r="E33" s="162"/>
      <c r="F33" s="304">
        <v>2000000</v>
      </c>
      <c r="G33" s="209">
        <f t="shared" si="0"/>
        <v>2000000</v>
      </c>
    </row>
    <row r="34" spans="1:7" x14ac:dyDescent="0.2">
      <c r="A34" s="158">
        <f t="shared" si="1"/>
        <v>4</v>
      </c>
      <c r="B34" s="156" t="s">
        <v>81</v>
      </c>
      <c r="C34" s="151">
        <v>2</v>
      </c>
      <c r="D34" s="159" t="s">
        <v>77</v>
      </c>
      <c r="E34" s="162"/>
      <c r="F34" s="304">
        <v>2000000</v>
      </c>
      <c r="G34" s="209">
        <f t="shared" si="0"/>
        <v>4000000</v>
      </c>
    </row>
    <row r="35" spans="1:7" x14ac:dyDescent="0.2">
      <c r="A35" s="158">
        <f t="shared" si="1"/>
        <v>5</v>
      </c>
      <c r="B35" s="156" t="s">
        <v>82</v>
      </c>
      <c r="C35" s="151">
        <v>4</v>
      </c>
      <c r="D35" s="159" t="s">
        <v>77</v>
      </c>
      <c r="E35" s="162"/>
      <c r="F35" s="304">
        <v>2000000</v>
      </c>
      <c r="G35" s="209">
        <f t="shared" si="0"/>
        <v>8000000</v>
      </c>
    </row>
    <row r="36" spans="1:7" x14ac:dyDescent="0.2">
      <c r="A36" s="158">
        <f t="shared" si="1"/>
        <v>6</v>
      </c>
      <c r="B36" s="156" t="s">
        <v>137</v>
      </c>
      <c r="C36" s="151">
        <v>4</v>
      </c>
      <c r="D36" s="159" t="s">
        <v>77</v>
      </c>
      <c r="E36" s="162"/>
      <c r="F36" s="304">
        <v>2000000</v>
      </c>
      <c r="G36" s="209">
        <f t="shared" si="0"/>
        <v>8000000</v>
      </c>
    </row>
    <row r="37" spans="1:7" x14ac:dyDescent="0.2">
      <c r="A37" s="158">
        <f t="shared" si="1"/>
        <v>7</v>
      </c>
      <c r="B37" s="156" t="s">
        <v>138</v>
      </c>
      <c r="C37" s="160">
        <v>40000</v>
      </c>
      <c r="D37" s="159" t="s">
        <v>77</v>
      </c>
      <c r="E37" s="162"/>
      <c r="F37" s="304">
        <v>300</v>
      </c>
      <c r="G37" s="209">
        <f t="shared" si="0"/>
        <v>12000000</v>
      </c>
    </row>
    <row r="38" spans="1:7" x14ac:dyDescent="0.2">
      <c r="A38" s="158">
        <f t="shared" si="1"/>
        <v>8</v>
      </c>
      <c r="B38" s="156" t="s">
        <v>139</v>
      </c>
      <c r="C38" s="151">
        <v>2</v>
      </c>
      <c r="D38" s="159" t="s">
        <v>77</v>
      </c>
      <c r="E38" s="162"/>
      <c r="F38" s="304">
        <v>2000000</v>
      </c>
      <c r="G38" s="209">
        <f t="shared" si="0"/>
        <v>4000000</v>
      </c>
    </row>
    <row r="39" spans="1:7" x14ac:dyDescent="0.2">
      <c r="A39" s="158">
        <f t="shared" si="1"/>
        <v>9</v>
      </c>
      <c r="B39" s="156" t="s">
        <v>140</v>
      </c>
      <c r="C39" s="160">
        <v>20000</v>
      </c>
      <c r="D39" s="159" t="s">
        <v>77</v>
      </c>
      <c r="E39" s="162"/>
      <c r="F39" s="304">
        <v>550</v>
      </c>
      <c r="G39" s="209">
        <f t="shared" si="0"/>
        <v>11000000</v>
      </c>
    </row>
    <row r="40" spans="1:7" x14ac:dyDescent="0.2">
      <c r="A40" s="158">
        <f t="shared" si="1"/>
        <v>10</v>
      </c>
      <c r="B40" s="156" t="s">
        <v>141</v>
      </c>
      <c r="C40" s="151">
        <v>2</v>
      </c>
      <c r="D40" s="159" t="s">
        <v>77</v>
      </c>
      <c r="E40" s="162"/>
      <c r="F40" s="304">
        <v>2000000</v>
      </c>
      <c r="G40" s="209">
        <f t="shared" si="0"/>
        <v>4000000</v>
      </c>
    </row>
    <row r="41" spans="1:7" x14ac:dyDescent="0.2">
      <c r="A41" s="158">
        <f t="shared" si="1"/>
        <v>11</v>
      </c>
      <c r="B41" s="156" t="s">
        <v>142</v>
      </c>
      <c r="C41" s="160">
        <v>20000</v>
      </c>
      <c r="D41" s="159" t="s">
        <v>77</v>
      </c>
      <c r="E41" s="162"/>
      <c r="F41" s="304">
        <v>600</v>
      </c>
      <c r="G41" s="209">
        <f t="shared" si="0"/>
        <v>12000000</v>
      </c>
    </row>
    <row r="42" spans="1:7" x14ac:dyDescent="0.2">
      <c r="A42" s="158">
        <f t="shared" si="1"/>
        <v>12</v>
      </c>
      <c r="B42" s="156" t="s">
        <v>133</v>
      </c>
      <c r="C42" s="160">
        <v>5000</v>
      </c>
      <c r="D42" s="159" t="s">
        <v>77</v>
      </c>
      <c r="E42" s="162"/>
      <c r="F42" s="304">
        <v>250</v>
      </c>
      <c r="G42" s="209">
        <f t="shared" si="0"/>
        <v>1250000</v>
      </c>
    </row>
    <row r="43" spans="1:7" x14ac:dyDescent="0.2">
      <c r="A43" s="158">
        <f t="shared" si="1"/>
        <v>13</v>
      </c>
      <c r="B43" s="156" t="s">
        <v>229</v>
      </c>
      <c r="C43" s="160">
        <v>5000</v>
      </c>
      <c r="D43" s="159" t="s">
        <v>77</v>
      </c>
      <c r="E43" s="162"/>
      <c r="F43" s="304">
        <v>550</v>
      </c>
      <c r="G43" s="209">
        <f t="shared" si="0"/>
        <v>2750000</v>
      </c>
    </row>
    <row r="44" spans="1:7" x14ac:dyDescent="0.2">
      <c r="A44" s="158">
        <f t="shared" si="1"/>
        <v>14</v>
      </c>
      <c r="B44" s="156" t="s">
        <v>124</v>
      </c>
      <c r="C44" s="160">
        <v>1</v>
      </c>
      <c r="D44" s="159" t="s">
        <v>77</v>
      </c>
      <c r="E44" s="162"/>
      <c r="F44" s="304">
        <v>2000000</v>
      </c>
      <c r="G44" s="209">
        <f t="shared" si="0"/>
        <v>2000000</v>
      </c>
    </row>
    <row r="45" spans="1:7" x14ac:dyDescent="0.2">
      <c r="A45" s="158">
        <f t="shared" si="1"/>
        <v>15</v>
      </c>
      <c r="B45" s="161" t="s">
        <v>125</v>
      </c>
      <c r="C45" s="160">
        <v>5000</v>
      </c>
      <c r="D45" s="159" t="s">
        <v>77</v>
      </c>
      <c r="E45" s="162"/>
      <c r="F45" s="304">
        <v>500</v>
      </c>
      <c r="G45" s="209">
        <f t="shared" si="0"/>
        <v>2500000</v>
      </c>
    </row>
    <row r="46" spans="1:7" x14ac:dyDescent="0.2">
      <c r="A46" s="158">
        <f t="shared" si="1"/>
        <v>16</v>
      </c>
      <c r="B46" s="161" t="s">
        <v>126</v>
      </c>
      <c r="C46" s="151">
        <v>1</v>
      </c>
      <c r="D46" s="159" t="s">
        <v>77</v>
      </c>
      <c r="E46" s="162"/>
      <c r="F46" s="304">
        <v>3000000</v>
      </c>
      <c r="G46" s="209">
        <f t="shared" si="0"/>
        <v>3000000</v>
      </c>
    </row>
    <row r="47" spans="1:7" x14ac:dyDescent="0.2">
      <c r="A47" s="158">
        <f t="shared" si="1"/>
        <v>17</v>
      </c>
      <c r="B47" s="161" t="s">
        <v>134</v>
      </c>
      <c r="C47" s="160">
        <v>5000</v>
      </c>
      <c r="D47" s="159" t="s">
        <v>77</v>
      </c>
      <c r="E47" s="162"/>
      <c r="F47" s="304">
        <v>1000</v>
      </c>
      <c r="G47" s="209">
        <f t="shared" si="0"/>
        <v>5000000</v>
      </c>
    </row>
    <row r="48" spans="1:7" x14ac:dyDescent="0.2">
      <c r="A48" s="158">
        <f t="shared" si="1"/>
        <v>18</v>
      </c>
      <c r="B48" s="156" t="s">
        <v>83</v>
      </c>
      <c r="C48" s="151">
        <v>5</v>
      </c>
      <c r="D48" s="159" t="s">
        <v>77</v>
      </c>
      <c r="E48" s="162"/>
      <c r="F48" s="304">
        <v>300000</v>
      </c>
      <c r="G48" s="209">
        <f t="shared" si="0"/>
        <v>1500000</v>
      </c>
    </row>
    <row r="49" spans="1:7" ht="25.5" x14ac:dyDescent="0.2">
      <c r="A49" s="158">
        <f t="shared" si="1"/>
        <v>19</v>
      </c>
      <c r="B49" s="156" t="s">
        <v>135</v>
      </c>
      <c r="C49" s="148">
        <v>40</v>
      </c>
      <c r="D49" s="159" t="s">
        <v>77</v>
      </c>
      <c r="E49" s="162" t="s">
        <v>156</v>
      </c>
      <c r="F49" s="304">
        <v>200000</v>
      </c>
      <c r="G49" s="209">
        <f t="shared" si="0"/>
        <v>8000000</v>
      </c>
    </row>
    <row r="50" spans="1:7" x14ac:dyDescent="0.2">
      <c r="A50" s="158">
        <f t="shared" si="1"/>
        <v>20</v>
      </c>
      <c r="B50" s="156" t="s">
        <v>84</v>
      </c>
      <c r="C50" s="151">
        <v>1</v>
      </c>
      <c r="D50" s="159" t="s">
        <v>77</v>
      </c>
      <c r="E50" s="162"/>
      <c r="F50" s="304">
        <v>300000</v>
      </c>
      <c r="G50" s="209">
        <f t="shared" si="0"/>
        <v>300000</v>
      </c>
    </row>
    <row r="51" spans="1:7" ht="25.5" x14ac:dyDescent="0.2">
      <c r="A51" s="158">
        <f t="shared" si="1"/>
        <v>21</v>
      </c>
      <c r="B51" s="156" t="s">
        <v>85</v>
      </c>
      <c r="C51" s="151">
        <v>2</v>
      </c>
      <c r="D51" s="159" t="s">
        <v>77</v>
      </c>
      <c r="E51" s="162" t="s">
        <v>156</v>
      </c>
      <c r="F51" s="304">
        <v>200000</v>
      </c>
      <c r="G51" s="209">
        <f t="shared" si="0"/>
        <v>400000</v>
      </c>
    </row>
    <row r="52" spans="1:7" x14ac:dyDescent="0.2">
      <c r="A52" s="158">
        <f t="shared" si="1"/>
        <v>22</v>
      </c>
      <c r="B52" s="156" t="s">
        <v>86</v>
      </c>
      <c r="C52" s="151">
        <v>1</v>
      </c>
      <c r="D52" s="159" t="s">
        <v>77</v>
      </c>
      <c r="E52" s="162"/>
      <c r="F52" s="304">
        <v>300000</v>
      </c>
      <c r="G52" s="209">
        <f t="shared" si="0"/>
        <v>300000</v>
      </c>
    </row>
    <row r="53" spans="1:7" ht="38.25" x14ac:dyDescent="0.2">
      <c r="A53" s="158">
        <f t="shared" si="1"/>
        <v>23</v>
      </c>
      <c r="B53" s="156" t="s">
        <v>87</v>
      </c>
      <c r="C53" s="151">
        <v>1</v>
      </c>
      <c r="D53" s="159" t="s">
        <v>77</v>
      </c>
      <c r="E53" s="162" t="s">
        <v>157</v>
      </c>
      <c r="F53" s="304">
        <v>200000</v>
      </c>
      <c r="G53" s="209">
        <f t="shared" si="0"/>
        <v>200000</v>
      </c>
    </row>
    <row r="54" spans="1:7" x14ac:dyDescent="0.2">
      <c r="A54" s="158">
        <f t="shared" si="1"/>
        <v>24</v>
      </c>
      <c r="B54" s="156" t="s">
        <v>88</v>
      </c>
      <c r="C54" s="151">
        <v>1</v>
      </c>
      <c r="D54" s="159" t="s">
        <v>77</v>
      </c>
      <c r="E54" s="162"/>
      <c r="F54" s="304">
        <v>300000</v>
      </c>
      <c r="G54" s="209">
        <f t="shared" si="0"/>
        <v>300000</v>
      </c>
    </row>
    <row r="55" spans="1:7" ht="38.25" x14ac:dyDescent="0.2">
      <c r="A55" s="158">
        <f t="shared" si="1"/>
        <v>25</v>
      </c>
      <c r="B55" s="156" t="s">
        <v>89</v>
      </c>
      <c r="C55" s="151">
        <v>2</v>
      </c>
      <c r="D55" s="159" t="s">
        <v>77</v>
      </c>
      <c r="E55" s="162" t="s">
        <v>157</v>
      </c>
      <c r="F55" s="304">
        <v>200000</v>
      </c>
      <c r="G55" s="209">
        <f t="shared" si="0"/>
        <v>400000</v>
      </c>
    </row>
    <row r="56" spans="1:7" x14ac:dyDescent="0.2">
      <c r="A56" s="158">
        <f>+A55+1</f>
        <v>26</v>
      </c>
      <c r="B56" s="156" t="s">
        <v>90</v>
      </c>
      <c r="C56" s="151">
        <v>1</v>
      </c>
      <c r="D56" s="159" t="s">
        <v>77</v>
      </c>
      <c r="E56" s="162"/>
      <c r="F56" s="308">
        <v>300000</v>
      </c>
      <c r="G56" s="209">
        <f t="shared" si="0"/>
        <v>300000</v>
      </c>
    </row>
    <row r="57" spans="1:7" ht="38.25" x14ac:dyDescent="0.2">
      <c r="A57" s="158">
        <f t="shared" si="1"/>
        <v>27</v>
      </c>
      <c r="B57" s="156" t="s">
        <v>91</v>
      </c>
      <c r="C57" s="151">
        <v>2</v>
      </c>
      <c r="D57" s="159" t="s">
        <v>77</v>
      </c>
      <c r="E57" s="162" t="s">
        <v>157</v>
      </c>
      <c r="F57" s="308">
        <v>200000</v>
      </c>
      <c r="G57" s="209">
        <f t="shared" si="0"/>
        <v>400000</v>
      </c>
    </row>
    <row r="58" spans="1:7" x14ac:dyDescent="0.2">
      <c r="A58" s="158">
        <f t="shared" si="1"/>
        <v>28</v>
      </c>
      <c r="B58" s="156" t="s">
        <v>92</v>
      </c>
      <c r="C58" s="151">
        <v>1</v>
      </c>
      <c r="D58" s="159" t="s">
        <v>77</v>
      </c>
      <c r="E58" s="162"/>
      <c r="F58" s="308">
        <v>300000</v>
      </c>
      <c r="G58" s="209">
        <f t="shared" si="0"/>
        <v>300000</v>
      </c>
    </row>
    <row r="59" spans="1:7" ht="38.25" x14ac:dyDescent="0.2">
      <c r="A59" s="158">
        <f t="shared" si="1"/>
        <v>29</v>
      </c>
      <c r="B59" s="156" t="s">
        <v>93</v>
      </c>
      <c r="C59" s="151">
        <v>1</v>
      </c>
      <c r="D59" s="159" t="s">
        <v>77</v>
      </c>
      <c r="E59" s="162" t="s">
        <v>157</v>
      </c>
      <c r="F59" s="308">
        <v>200000</v>
      </c>
      <c r="G59" s="209">
        <f t="shared" si="0"/>
        <v>200000</v>
      </c>
    </row>
    <row r="60" spans="1:7" x14ac:dyDescent="0.2">
      <c r="A60" s="158">
        <f t="shared" si="1"/>
        <v>30</v>
      </c>
      <c r="B60" s="156" t="s">
        <v>94</v>
      </c>
      <c r="C60" s="151">
        <v>1</v>
      </c>
      <c r="D60" s="159" t="s">
        <v>77</v>
      </c>
      <c r="E60" s="162"/>
      <c r="F60" s="308">
        <v>300000</v>
      </c>
      <c r="G60" s="209">
        <f t="shared" si="0"/>
        <v>300000</v>
      </c>
    </row>
    <row r="61" spans="1:7" ht="38.25" x14ac:dyDescent="0.2">
      <c r="A61" s="158">
        <f t="shared" si="1"/>
        <v>31</v>
      </c>
      <c r="B61" s="156" t="s">
        <v>95</v>
      </c>
      <c r="C61" s="151">
        <v>1</v>
      </c>
      <c r="D61" s="159" t="s">
        <v>77</v>
      </c>
      <c r="E61" s="162" t="s">
        <v>157</v>
      </c>
      <c r="F61" s="308">
        <v>200000</v>
      </c>
      <c r="G61" s="209">
        <f t="shared" si="0"/>
        <v>200000</v>
      </c>
    </row>
    <row r="62" spans="1:7" x14ac:dyDescent="0.2">
      <c r="A62" s="158">
        <f t="shared" si="1"/>
        <v>32</v>
      </c>
      <c r="B62" s="156" t="s">
        <v>96</v>
      </c>
      <c r="C62" s="151">
        <v>1</v>
      </c>
      <c r="D62" s="159" t="s">
        <v>77</v>
      </c>
      <c r="E62" s="162"/>
      <c r="F62" s="309">
        <v>80000</v>
      </c>
      <c r="G62" s="209">
        <f t="shared" si="0"/>
        <v>80000</v>
      </c>
    </row>
    <row r="63" spans="1:7" x14ac:dyDescent="0.2">
      <c r="A63" s="158">
        <f t="shared" si="1"/>
        <v>33</v>
      </c>
      <c r="B63" s="156" t="s">
        <v>97</v>
      </c>
      <c r="C63" s="151">
        <v>1</v>
      </c>
      <c r="D63" s="159" t="s">
        <v>77</v>
      </c>
      <c r="E63" s="162"/>
      <c r="F63" s="309">
        <v>150000</v>
      </c>
      <c r="G63" s="209">
        <f t="shared" si="0"/>
        <v>150000</v>
      </c>
    </row>
    <row r="64" spans="1:7" x14ac:dyDescent="0.2">
      <c r="A64" s="158">
        <f t="shared" si="1"/>
        <v>34</v>
      </c>
      <c r="B64" s="156" t="s">
        <v>98</v>
      </c>
      <c r="C64" s="151">
        <v>1</v>
      </c>
      <c r="D64" s="159" t="s">
        <v>77</v>
      </c>
      <c r="E64" s="162"/>
      <c r="F64" s="309">
        <v>240000</v>
      </c>
      <c r="G64" s="209">
        <f t="shared" si="0"/>
        <v>240000</v>
      </c>
    </row>
    <row r="65" spans="1:7" x14ac:dyDescent="0.2">
      <c r="A65" s="158">
        <f t="shared" si="1"/>
        <v>35</v>
      </c>
      <c r="B65" s="156" t="s">
        <v>99</v>
      </c>
      <c r="C65" s="151">
        <v>1</v>
      </c>
      <c r="D65" s="159" t="s">
        <v>77</v>
      </c>
      <c r="E65" s="162"/>
      <c r="F65" s="309">
        <v>300000</v>
      </c>
      <c r="G65" s="209">
        <f t="shared" si="0"/>
        <v>300000</v>
      </c>
    </row>
    <row r="66" spans="1:7" x14ac:dyDescent="0.2">
      <c r="A66" s="158">
        <f t="shared" si="1"/>
        <v>36</v>
      </c>
      <c r="B66" s="156" t="s">
        <v>100</v>
      </c>
      <c r="C66" s="151">
        <v>1</v>
      </c>
      <c r="D66" s="154" t="s">
        <v>77</v>
      </c>
      <c r="E66" s="162"/>
      <c r="F66" s="309">
        <v>600000</v>
      </c>
      <c r="G66" s="209">
        <f t="shared" si="0"/>
        <v>600000</v>
      </c>
    </row>
    <row r="67" spans="1:7" x14ac:dyDescent="0.2">
      <c r="A67" s="158">
        <f t="shared" si="1"/>
        <v>37</v>
      </c>
      <c r="B67" s="156" t="s">
        <v>155</v>
      </c>
      <c r="C67" s="151">
        <v>5000</v>
      </c>
      <c r="D67" s="159"/>
      <c r="E67" s="162"/>
      <c r="F67" s="304">
        <v>1000</v>
      </c>
      <c r="G67" s="209">
        <f t="shared" si="0"/>
        <v>5000000</v>
      </c>
    </row>
    <row r="68" spans="1:7" ht="14.25" customHeight="1" x14ac:dyDescent="0.2">
      <c r="A68" s="143"/>
      <c r="B68" s="552" t="s">
        <v>178</v>
      </c>
      <c r="C68" s="553"/>
      <c r="D68" s="553"/>
      <c r="E68" s="553"/>
      <c r="F68" s="553"/>
      <c r="G68" s="554"/>
    </row>
    <row r="69" spans="1:7" x14ac:dyDescent="0.2">
      <c r="A69" s="158">
        <v>1</v>
      </c>
      <c r="B69" s="156" t="s">
        <v>163</v>
      </c>
      <c r="C69" s="160">
        <v>58500</v>
      </c>
      <c r="D69" s="159" t="s">
        <v>77</v>
      </c>
      <c r="E69" s="162"/>
      <c r="F69" s="304">
        <v>550</v>
      </c>
      <c r="G69" s="209">
        <f t="shared" si="0"/>
        <v>32175000</v>
      </c>
    </row>
    <row r="70" spans="1:7" x14ac:dyDescent="0.2">
      <c r="A70" s="158">
        <v>2</v>
      </c>
      <c r="B70" s="156" t="s">
        <v>164</v>
      </c>
      <c r="C70" s="160"/>
      <c r="D70" s="159"/>
      <c r="E70" s="162"/>
      <c r="F70" s="304">
        <v>2000000</v>
      </c>
      <c r="G70" s="209">
        <f>F70</f>
        <v>2000000</v>
      </c>
    </row>
    <row r="71" spans="1:7" ht="25.5" x14ac:dyDescent="0.2">
      <c r="A71" s="158">
        <v>3</v>
      </c>
      <c r="B71" s="156" t="s">
        <v>165</v>
      </c>
      <c r="C71" s="160">
        <v>29250</v>
      </c>
      <c r="D71" s="159" t="s">
        <v>77</v>
      </c>
      <c r="E71" s="162"/>
      <c r="F71" s="309">
        <v>5000</v>
      </c>
      <c r="G71" s="209">
        <f t="shared" si="0"/>
        <v>146250000</v>
      </c>
    </row>
    <row r="72" spans="1:7" ht="30.75" customHeight="1" x14ac:dyDescent="0.2">
      <c r="A72" s="158">
        <v>4</v>
      </c>
      <c r="B72" s="156" t="s">
        <v>166</v>
      </c>
      <c r="C72" s="160"/>
      <c r="D72" s="159"/>
      <c r="E72" s="162"/>
      <c r="F72" s="304">
        <v>2000000</v>
      </c>
      <c r="G72" s="209">
        <f t="shared" si="0"/>
        <v>0</v>
      </c>
    </row>
    <row r="73" spans="1:7" ht="27.75" customHeight="1" x14ac:dyDescent="0.2">
      <c r="A73" s="158">
        <v>5</v>
      </c>
      <c r="B73" s="156" t="s">
        <v>167</v>
      </c>
      <c r="C73" s="160">
        <v>29250</v>
      </c>
      <c r="D73" s="159" t="s">
        <v>77</v>
      </c>
      <c r="E73" s="162"/>
      <c r="F73" s="309">
        <v>600</v>
      </c>
      <c r="G73" s="209">
        <f t="shared" si="0"/>
        <v>17550000</v>
      </c>
    </row>
    <row r="74" spans="1:7" ht="30" customHeight="1" x14ac:dyDescent="0.2">
      <c r="A74" s="158">
        <v>6</v>
      </c>
      <c r="B74" s="156" t="s">
        <v>168</v>
      </c>
      <c r="C74" s="160"/>
      <c r="D74" s="159"/>
      <c r="E74" s="162"/>
      <c r="F74" s="309">
        <v>2000000</v>
      </c>
      <c r="G74" s="209">
        <f t="shared" si="0"/>
        <v>0</v>
      </c>
    </row>
    <row r="75" spans="1:7" x14ac:dyDescent="0.2">
      <c r="A75" s="158">
        <v>7</v>
      </c>
      <c r="B75" s="156" t="s">
        <v>149</v>
      </c>
      <c r="C75" s="160">
        <v>29250</v>
      </c>
      <c r="D75" s="159" t="s">
        <v>77</v>
      </c>
      <c r="E75" s="162"/>
      <c r="F75" s="304">
        <v>5000</v>
      </c>
      <c r="G75" s="209">
        <f t="shared" si="0"/>
        <v>146250000</v>
      </c>
    </row>
    <row r="76" spans="1:7" ht="12.75" customHeight="1" x14ac:dyDescent="0.2">
      <c r="A76" s="158">
        <v>8</v>
      </c>
      <c r="B76" s="156" t="s">
        <v>150</v>
      </c>
      <c r="C76" s="160">
        <v>29250</v>
      </c>
      <c r="D76" s="159" t="s">
        <v>77</v>
      </c>
      <c r="E76" s="162"/>
      <c r="F76" s="304">
        <v>200</v>
      </c>
      <c r="G76" s="209">
        <f t="shared" si="0"/>
        <v>5850000</v>
      </c>
    </row>
    <row r="77" spans="1:7" ht="58.5" customHeight="1" x14ac:dyDescent="0.2">
      <c r="A77" s="146">
        <v>9</v>
      </c>
      <c r="B77" s="156" t="s">
        <v>76</v>
      </c>
      <c r="C77" s="160">
        <v>29250</v>
      </c>
      <c r="D77" s="159" t="s">
        <v>77</v>
      </c>
      <c r="E77" s="162" t="s">
        <v>159</v>
      </c>
      <c r="F77" s="309">
        <v>400</v>
      </c>
      <c r="G77" s="209">
        <f t="shared" ref="G77:G81" si="2">+F77*C77</f>
        <v>11700000</v>
      </c>
    </row>
    <row r="78" spans="1:7" ht="14.25" customHeight="1" x14ac:dyDescent="0.2">
      <c r="A78" s="143"/>
      <c r="B78" s="142" t="s">
        <v>179</v>
      </c>
      <c r="C78" s="144"/>
      <c r="D78" s="142"/>
      <c r="E78" s="145"/>
      <c r="F78" s="145"/>
      <c r="G78" s="197"/>
    </row>
    <row r="79" spans="1:7" x14ac:dyDescent="0.2">
      <c r="A79" s="158" t="s">
        <v>180</v>
      </c>
      <c r="B79" s="156" t="s">
        <v>143</v>
      </c>
      <c r="C79" s="151">
        <v>1</v>
      </c>
      <c r="D79" s="159" t="s">
        <v>106</v>
      </c>
      <c r="E79" s="162" t="s">
        <v>130</v>
      </c>
      <c r="F79" s="309">
        <v>5000000</v>
      </c>
      <c r="G79" s="209">
        <f t="shared" si="2"/>
        <v>5000000</v>
      </c>
    </row>
    <row r="80" spans="1:7" x14ac:dyDescent="0.2">
      <c r="A80" s="158" t="s">
        <v>181</v>
      </c>
      <c r="B80" s="156" t="s">
        <v>118</v>
      </c>
      <c r="C80" s="151">
        <v>1</v>
      </c>
      <c r="D80" s="159" t="s">
        <v>119</v>
      </c>
      <c r="E80" s="163" t="s">
        <v>109</v>
      </c>
      <c r="F80" s="304">
        <v>30000000</v>
      </c>
      <c r="G80" s="209">
        <f t="shared" si="2"/>
        <v>30000000</v>
      </c>
    </row>
    <row r="81" spans="1:8" ht="42" customHeight="1" x14ac:dyDescent="0.2">
      <c r="A81" s="158" t="s">
        <v>182</v>
      </c>
      <c r="B81" s="156" t="s">
        <v>120</v>
      </c>
      <c r="C81" s="160">
        <v>4000</v>
      </c>
      <c r="D81" s="159" t="s">
        <v>108</v>
      </c>
      <c r="E81" s="164" t="s">
        <v>158</v>
      </c>
      <c r="F81" s="309">
        <v>800</v>
      </c>
      <c r="G81" s="209">
        <f t="shared" si="2"/>
        <v>3200000</v>
      </c>
    </row>
    <row r="82" spans="1:8" ht="25.5" x14ac:dyDescent="0.2">
      <c r="A82" s="143"/>
      <c r="B82" s="165" t="s">
        <v>121</v>
      </c>
      <c r="C82" s="144"/>
      <c r="D82" s="142"/>
      <c r="E82" s="145"/>
      <c r="F82" s="145"/>
      <c r="G82" s="197"/>
    </row>
    <row r="83" spans="1:8" x14ac:dyDescent="0.2">
      <c r="A83" s="158"/>
      <c r="B83" s="156" t="s">
        <v>122</v>
      </c>
      <c r="C83" s="151"/>
      <c r="D83" s="159"/>
      <c r="E83" s="162"/>
      <c r="F83" s="302">
        <v>3000000</v>
      </c>
      <c r="G83" s="209">
        <f>F83</f>
        <v>3000000</v>
      </c>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304">
        <v>20000000</v>
      </c>
      <c r="G85" s="209">
        <f t="shared" ref="G85:G87" si="3">+F85*C85</f>
        <v>20000000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303">
        <v>7000000</v>
      </c>
      <c r="G87" s="209">
        <f t="shared" si="3"/>
        <v>70000000</v>
      </c>
      <c r="H87" s="171"/>
    </row>
    <row r="88" spans="1:8" x14ac:dyDescent="0.2">
      <c r="G88" s="188">
        <f>SUM(G12:G87)</f>
        <v>1174705000</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32</vt:i4>
      </vt:variant>
    </vt:vector>
  </HeadingPairs>
  <TitlesOfParts>
    <vt:vector size="52" baseType="lpstr">
      <vt:lpstr>ANEXO 1_2014</vt:lpstr>
      <vt:lpstr>ANEXO 1 (2)</vt:lpstr>
      <vt:lpstr>Hoja3</vt:lpstr>
      <vt:lpstr>CONSOLIDADO.</vt:lpstr>
      <vt:lpstr>ANEXO ECONOMICO</vt:lpstr>
      <vt:lpstr>cONSOLIDADO (2)</vt:lpstr>
      <vt:lpstr>cONSOLIDADO</vt:lpstr>
      <vt:lpstr>CO4AJUSTADA</vt:lpstr>
      <vt:lpstr>Anexo</vt:lpstr>
      <vt:lpstr>C01_INICIAL</vt:lpstr>
      <vt:lpstr>CO2</vt:lpstr>
      <vt:lpstr>CO3</vt:lpstr>
      <vt:lpstr>CO4</vt:lpstr>
      <vt:lpstr>CO5</vt:lpstr>
      <vt:lpstr>CO1_MODIFICADA</vt:lpstr>
      <vt:lpstr>ICFES</vt:lpstr>
      <vt:lpstr>OPTIMA 2015</vt:lpstr>
      <vt:lpstr>SECOP_CATA</vt:lpstr>
      <vt:lpstr>SECOP_ALEJOY CARO</vt:lpstr>
      <vt:lpstr>SECOP_CONIE</vt:lpstr>
      <vt:lpstr>SECOP_CATA!_GoBack</vt:lpstr>
      <vt:lpstr>Anexo!Área_de_impresión</vt:lpstr>
      <vt:lpstr>'ANEXO ECONOMICO'!Área_de_impresión</vt:lpstr>
      <vt:lpstr>'C01_INICIAL'!Área_de_impresión</vt:lpstr>
      <vt:lpstr>CO1_MODIFICADA!Área_de_impresión</vt:lpstr>
      <vt:lpstr>'CO2'!Área_de_impresión</vt:lpstr>
      <vt:lpstr>'CO3'!Área_de_impresión</vt:lpstr>
      <vt:lpstr>'CO4'!Área_de_impresión</vt:lpstr>
      <vt:lpstr>CO4AJUSTADA!Área_de_impresión</vt:lpstr>
      <vt:lpstr>'CO5'!Área_de_impresión</vt:lpstr>
      <vt:lpstr>cONSOLIDADO!Área_de_impresión</vt:lpstr>
      <vt:lpstr>'cONSOLIDADO (2)'!Área_de_impresión</vt:lpstr>
      <vt:lpstr>CONSOLIDADO.!Área_de_impresión</vt:lpstr>
      <vt:lpstr>ICFES!Área_de_impresión</vt:lpstr>
      <vt:lpstr>'OPTIMA 2015'!Área_de_impresión</vt:lpstr>
      <vt:lpstr>'SECOP_ALEJOY CARO'!Área_de_impresión</vt:lpstr>
      <vt:lpstr>Anexo!Títulos_a_imprimir</vt:lpstr>
      <vt:lpstr>'ANEXO 1 (2)'!Títulos_a_imprimir</vt:lpstr>
      <vt:lpstr>'ANEXO 1_2014'!Títulos_a_imprimir</vt:lpstr>
      <vt:lpstr>'ANEXO ECONOMICO'!Títulos_a_imprimir</vt:lpstr>
      <vt:lpstr>'C01_INICIAL'!Títulos_a_imprimir</vt:lpstr>
      <vt:lpstr>CO1_MODIFICADA!Títulos_a_imprimir</vt:lpstr>
      <vt:lpstr>'CO2'!Títulos_a_imprimir</vt:lpstr>
      <vt:lpstr>'CO3'!Títulos_a_imprimir</vt:lpstr>
      <vt:lpstr>'CO4'!Títulos_a_imprimir</vt:lpstr>
      <vt:lpstr>CO4AJUSTADA!Títulos_a_imprimir</vt:lpstr>
      <vt:lpstr>'CO5'!Títulos_a_imprimir</vt:lpstr>
      <vt:lpstr>cONSOLIDADO!Títulos_a_imprimir</vt:lpstr>
      <vt:lpstr>'cONSOLIDADO (2)'!Títulos_a_imprimir</vt:lpstr>
      <vt:lpstr>CONSOLIDADO.!Títulos_a_imprimir</vt:lpstr>
      <vt:lpstr>ICFES!Títulos_a_imprimir</vt:lpstr>
      <vt:lpstr>'OPTIMA 2015'!Títulos_a_imprimir</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dc:creator>
  <cp:lastModifiedBy>Sebastian Salazar</cp:lastModifiedBy>
  <cp:lastPrinted>2016-02-05T20:34:11Z</cp:lastPrinted>
  <dcterms:created xsi:type="dcterms:W3CDTF">2012-04-26T00:28:04Z</dcterms:created>
  <dcterms:modified xsi:type="dcterms:W3CDTF">2016-02-05T20:40:53Z</dcterms:modified>
</cp:coreProperties>
</file>