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910" yWindow="-45" windowWidth="9345" windowHeight="8130"/>
  </bookViews>
  <sheets>
    <sheet name="REQUERIMIENTOS 2012" sheetId="1" r:id="rId1"/>
    <sheet name="Hoja1" sheetId="2" r:id="rId2"/>
  </sheets>
  <definedNames>
    <definedName name="_xlnm._FilterDatabase" localSheetId="0" hidden="1">'REQUERIMIENTOS 2012'!$A$7:$T$82</definedName>
  </definedNames>
  <calcPr calcId="124519"/>
</workbook>
</file>

<file path=xl/calcChain.xml><?xml version="1.0" encoding="utf-8"?>
<calcChain xmlns="http://schemas.openxmlformats.org/spreadsheetml/2006/main">
  <c r="AE46" i="1"/>
  <c r="AE31"/>
  <c r="AE80" l="1"/>
  <c r="Y9" l="1"/>
  <c r="Y10"/>
  <c r="Y11"/>
  <c r="Y12"/>
  <c r="Y13"/>
  <c r="Y14"/>
  <c r="Y15"/>
  <c r="Y16"/>
  <c r="Y17"/>
  <c r="Y18"/>
  <c r="Y19"/>
  <c r="Y20"/>
  <c r="Y21"/>
  <c r="Y23"/>
  <c r="Y24"/>
  <c r="Y25"/>
  <c r="Y27"/>
  <c r="Y28"/>
  <c r="Y29"/>
  <c r="Y32"/>
  <c r="Y33"/>
  <c r="Y34"/>
  <c r="Y35"/>
  <c r="Y36"/>
  <c r="Y37"/>
  <c r="Y38"/>
  <c r="Y40"/>
  <c r="Y41"/>
  <c r="Y42"/>
  <c r="Y43"/>
  <c r="Y44"/>
  <c r="Y45"/>
  <c r="Y47"/>
  <c r="Y48"/>
  <c r="Y49"/>
  <c r="Y50"/>
  <c r="Y51"/>
  <c r="Y52"/>
  <c r="Y53"/>
  <c r="Y54"/>
  <c r="Y55"/>
  <c r="Y57"/>
  <c r="Y58"/>
  <c r="Y59"/>
  <c r="Y60"/>
  <c r="Y61"/>
  <c r="Y62"/>
  <c r="Y63"/>
  <c r="Y64"/>
  <c r="Y65"/>
  <c r="Y66"/>
  <c r="Y67"/>
  <c r="Y68"/>
  <c r="Y69"/>
  <c r="Y70"/>
  <c r="Y71"/>
  <c r="Y72"/>
  <c r="Y73"/>
  <c r="Y75"/>
  <c r="Y76"/>
  <c r="Y77"/>
  <c r="Y78"/>
  <c r="Y8"/>
  <c r="S8"/>
  <c r="AC49"/>
  <c r="AC70"/>
  <c r="AC65"/>
  <c r="AC59"/>
  <c r="AC58"/>
  <c r="AC60"/>
  <c r="AC61"/>
  <c r="AC62"/>
  <c r="AC63"/>
  <c r="AC64"/>
  <c r="AC66"/>
  <c r="AC67"/>
  <c r="AC68"/>
  <c r="AC69"/>
  <c r="AC71"/>
  <c r="AC72"/>
  <c r="AC73"/>
  <c r="AC75"/>
  <c r="AC76"/>
  <c r="AC77"/>
  <c r="AC78"/>
  <c r="AC57"/>
  <c r="AC50"/>
  <c r="AC47"/>
  <c r="AC9"/>
  <c r="AC10"/>
  <c r="AC11"/>
  <c r="AC12"/>
  <c r="AC13"/>
  <c r="AC14"/>
  <c r="AC15"/>
  <c r="AC16"/>
  <c r="AC17"/>
  <c r="AC18"/>
  <c r="AC19"/>
  <c r="AC20"/>
  <c r="AC21"/>
  <c r="AC23"/>
  <c r="AC24"/>
  <c r="AC25"/>
  <c r="AC27"/>
  <c r="AC28"/>
  <c r="AC29"/>
  <c r="AC32"/>
  <c r="AC33"/>
  <c r="AC34"/>
  <c r="AC35"/>
  <c r="AC36"/>
  <c r="AC37"/>
  <c r="AC38"/>
  <c r="AC40"/>
  <c r="AC41"/>
  <c r="AC42"/>
  <c r="AC43"/>
  <c r="AC44"/>
  <c r="AC45"/>
  <c r="AC8"/>
  <c r="AC48"/>
  <c r="AC51"/>
  <c r="AC52"/>
  <c r="AC53"/>
  <c r="AC54"/>
  <c r="AC55"/>
  <c r="AA9" l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E30" s="1"/>
  <c r="AA32"/>
  <c r="AA33"/>
  <c r="AA34"/>
  <c r="AA35"/>
  <c r="AA36"/>
  <c r="AA37"/>
  <c r="AA38"/>
  <c r="AA40"/>
  <c r="AA41"/>
  <c r="AA42"/>
  <c r="AA43"/>
  <c r="AA44"/>
  <c r="AA45"/>
  <c r="AA47"/>
  <c r="AA48"/>
  <c r="AA49"/>
  <c r="AA50"/>
  <c r="AA51"/>
  <c r="AA52"/>
  <c r="AA53"/>
  <c r="AA54"/>
  <c r="AA55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5"/>
  <c r="AA76"/>
  <c r="AA77"/>
  <c r="AA78"/>
  <c r="AA8"/>
  <c r="W9" l="1"/>
  <c r="W10"/>
  <c r="W13"/>
  <c r="W15"/>
  <c r="W17"/>
  <c r="W18"/>
  <c r="W19"/>
  <c r="W21"/>
  <c r="W23"/>
  <c r="W24"/>
  <c r="W25"/>
  <c r="W27"/>
  <c r="W28"/>
  <c r="AE28" s="1"/>
  <c r="W29"/>
  <c r="AE29" s="1"/>
  <c r="W32"/>
  <c r="W33"/>
  <c r="W34"/>
  <c r="W37"/>
  <c r="W40"/>
  <c r="W43"/>
  <c r="W51"/>
  <c r="W52"/>
  <c r="W53"/>
  <c r="W54"/>
  <c r="W57"/>
  <c r="W59"/>
  <c r="W62"/>
  <c r="W63"/>
  <c r="W65"/>
  <c r="W68"/>
  <c r="W69"/>
  <c r="W70"/>
  <c r="W73"/>
  <c r="W78"/>
  <c r="T75" l="1"/>
  <c r="T53"/>
  <c r="T22"/>
  <c r="T26"/>
  <c r="T30"/>
  <c r="T44"/>
  <c r="T45"/>
  <c r="T42"/>
  <c r="T63"/>
  <c r="T69"/>
  <c r="T76"/>
  <c r="T41"/>
  <c r="T50"/>
  <c r="U50" s="1"/>
  <c r="T49"/>
  <c r="T40"/>
  <c r="T68"/>
  <c r="T73"/>
  <c r="T71"/>
  <c r="T72"/>
  <c r="T67"/>
  <c r="T61"/>
  <c r="T60"/>
  <c r="T66"/>
  <c r="T43"/>
  <c r="T77"/>
  <c r="T64"/>
  <c r="T58"/>
  <c r="T47"/>
  <c r="T35"/>
  <c r="T8"/>
  <c r="U8" s="1"/>
  <c r="T70"/>
  <c r="T65"/>
  <c r="T59"/>
  <c r="U55"/>
  <c r="T78"/>
  <c r="T57"/>
  <c r="T37"/>
  <c r="T39"/>
  <c r="T38"/>
  <c r="T36"/>
  <c r="T34"/>
  <c r="T33"/>
  <c r="T32"/>
  <c r="T29"/>
  <c r="T28"/>
  <c r="T27"/>
  <c r="T23"/>
  <c r="T24"/>
  <c r="T25"/>
  <c r="T21"/>
  <c r="T20"/>
  <c r="T19"/>
  <c r="T18"/>
  <c r="T17"/>
  <c r="T16"/>
  <c r="T15"/>
  <c r="T14"/>
  <c r="T13"/>
  <c r="T11"/>
  <c r="T10"/>
  <c r="T9"/>
  <c r="AF8" l="1"/>
  <c r="AE8"/>
  <c r="S10"/>
  <c r="S11"/>
  <c r="S13"/>
  <c r="S14"/>
  <c r="S15"/>
  <c r="S16"/>
  <c r="S17"/>
  <c r="S18"/>
  <c r="S19"/>
  <c r="S20"/>
  <c r="S21"/>
  <c r="S23"/>
  <c r="S24"/>
  <c r="S25"/>
  <c r="S27"/>
  <c r="S28"/>
  <c r="AF28" s="1"/>
  <c r="S29"/>
  <c r="S32"/>
  <c r="S33"/>
  <c r="S34"/>
  <c r="S35"/>
  <c r="S36"/>
  <c r="S37"/>
  <c r="S38"/>
  <c r="S40"/>
  <c r="S41"/>
  <c r="S42"/>
  <c r="S43"/>
  <c r="S45"/>
  <c r="S47"/>
  <c r="S48"/>
  <c r="S49"/>
  <c r="S50"/>
  <c r="S51"/>
  <c r="S52"/>
  <c r="S53"/>
  <c r="S54"/>
  <c r="S55"/>
  <c r="S57"/>
  <c r="S58"/>
  <c r="S59"/>
  <c r="S60"/>
  <c r="S61"/>
  <c r="S62"/>
  <c r="S63"/>
  <c r="S65"/>
  <c r="S66"/>
  <c r="S67"/>
  <c r="S68"/>
  <c r="S69"/>
  <c r="S70"/>
  <c r="S71"/>
  <c r="S72"/>
  <c r="S73"/>
  <c r="S75"/>
  <c r="S76"/>
  <c r="S78"/>
  <c r="S9"/>
  <c r="U77"/>
  <c r="U76"/>
  <c r="U75"/>
  <c r="U73"/>
  <c r="U72"/>
  <c r="U71"/>
  <c r="U70"/>
  <c r="U69"/>
  <c r="U68"/>
  <c r="U67"/>
  <c r="U66"/>
  <c r="U65"/>
  <c r="U64"/>
  <c r="U63"/>
  <c r="U61"/>
  <c r="U60"/>
  <c r="U59"/>
  <c r="U58"/>
  <c r="U57"/>
  <c r="U54"/>
  <c r="U53"/>
  <c r="U52"/>
  <c r="U51"/>
  <c r="U49"/>
  <c r="U48"/>
  <c r="U47"/>
  <c r="U45"/>
  <c r="U44"/>
  <c r="U43"/>
  <c r="U42"/>
  <c r="U41"/>
  <c r="U40"/>
  <c r="J39"/>
  <c r="U38"/>
  <c r="U37"/>
  <c r="U36"/>
  <c r="U35"/>
  <c r="U34"/>
  <c r="U33"/>
  <c r="U32"/>
  <c r="U30"/>
  <c r="AF30" s="1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AF12" l="1"/>
  <c r="AE12"/>
  <c r="U78"/>
  <c r="AE78" s="1"/>
  <c r="AE22"/>
  <c r="AF22"/>
  <c r="AE26"/>
  <c r="AF26"/>
  <c r="S39"/>
  <c r="S80" s="1"/>
  <c r="Y39"/>
  <c r="Y80" s="1"/>
  <c r="AC39"/>
  <c r="AC80" s="1"/>
  <c r="AA39"/>
  <c r="AA80" s="1"/>
  <c r="W39"/>
  <c r="W80" s="1"/>
  <c r="AE64"/>
  <c r="AF64"/>
  <c r="AE77"/>
  <c r="AF77"/>
  <c r="AF44"/>
  <c r="AE44"/>
  <c r="AE9"/>
  <c r="AF9"/>
  <c r="AF29"/>
  <c r="AE63"/>
  <c r="AF63"/>
  <c r="AE59"/>
  <c r="AF59"/>
  <c r="AE54"/>
  <c r="AF54"/>
  <c r="AE50"/>
  <c r="AF50"/>
  <c r="AE45"/>
  <c r="AF45"/>
  <c r="AE40"/>
  <c r="AF40"/>
  <c r="AE35"/>
  <c r="AF35"/>
  <c r="AF24"/>
  <c r="AE24"/>
  <c r="AF19"/>
  <c r="AE19"/>
  <c r="AE15"/>
  <c r="AF15"/>
  <c r="AF10"/>
  <c r="AE10"/>
  <c r="AE72"/>
  <c r="AF72"/>
  <c r="AE73"/>
  <c r="AF73"/>
  <c r="AE69"/>
  <c r="AF69"/>
  <c r="AE65"/>
  <c r="AF65"/>
  <c r="AE60"/>
  <c r="AF60"/>
  <c r="AE55"/>
  <c r="AF55"/>
  <c r="AF51"/>
  <c r="AE51"/>
  <c r="AF47"/>
  <c r="AE47"/>
  <c r="AE41"/>
  <c r="AF41"/>
  <c r="AE36"/>
  <c r="AF36"/>
  <c r="AE32"/>
  <c r="AF32"/>
  <c r="AE25"/>
  <c r="AF25"/>
  <c r="AE20"/>
  <c r="AF20"/>
  <c r="AE16"/>
  <c r="AF16"/>
  <c r="AF11"/>
  <c r="AE11"/>
  <c r="AE68"/>
  <c r="AF68"/>
  <c r="U39"/>
  <c r="AE75"/>
  <c r="AF75"/>
  <c r="AE70"/>
  <c r="AF70"/>
  <c r="AE66"/>
  <c r="AF66"/>
  <c r="AE61"/>
  <c r="AF61"/>
  <c r="AF57"/>
  <c r="AE57"/>
  <c r="AF52"/>
  <c r="AE52"/>
  <c r="AE48"/>
  <c r="AF48"/>
  <c r="AE42"/>
  <c r="AF42"/>
  <c r="AE37"/>
  <c r="AF37"/>
  <c r="AF33"/>
  <c r="AE33"/>
  <c r="AE27"/>
  <c r="AF27"/>
  <c r="AF21"/>
  <c r="AE21"/>
  <c r="AE17"/>
  <c r="AF17"/>
  <c r="AE13"/>
  <c r="AF13"/>
  <c r="AE76"/>
  <c r="AF76"/>
  <c r="AE71"/>
  <c r="AF71"/>
  <c r="AE67"/>
  <c r="AF67"/>
  <c r="AE62"/>
  <c r="AF62"/>
  <c r="AE58"/>
  <c r="AF58"/>
  <c r="AE53"/>
  <c r="AF53"/>
  <c r="AE49"/>
  <c r="AF49"/>
  <c r="AE43"/>
  <c r="AF43"/>
  <c r="AE38"/>
  <c r="AF38"/>
  <c r="AE34"/>
  <c r="AF34"/>
  <c r="AE23"/>
  <c r="AF23"/>
  <c r="AF18"/>
  <c r="AE18"/>
  <c r="AE14"/>
  <c r="AF14"/>
  <c r="AE74" l="1"/>
  <c r="AE56"/>
  <c r="AE79"/>
  <c r="AF39"/>
  <c r="U80"/>
  <c r="AE39"/>
  <c r="AF78"/>
</calcChain>
</file>

<file path=xl/comments1.xml><?xml version="1.0" encoding="utf-8"?>
<comments xmlns="http://schemas.openxmlformats.org/spreadsheetml/2006/main">
  <authors>
    <author>jrubiano</author>
    <author>lrios</author>
    <author>Gina Herazo</author>
  </authors>
  <commentList>
    <comment ref="K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No se cotizó por la imprenta editores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No se cotizó por la imprenta editores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son las mismas especificaciones que el item del mismo nombre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son las mismas especificaciones que el item del mismo nombre</t>
        </r>
      </text>
    </comment>
    <comment ref="D44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No se cotizó por la imprenta editores</t>
        </r>
      </text>
    </comment>
    <comment ref="R48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revisar porque en el precio unitario se le mete iva</t>
        </r>
      </text>
    </comment>
    <comment ref="J49" authorId="1">
      <text>
        <r>
          <rPr>
            <b/>
            <sz val="8"/>
            <color indexed="81"/>
            <rFont val="Tahoma"/>
            <family val="2"/>
          </rPr>
          <t>lrios:</t>
        </r>
        <r>
          <rPr>
            <sz val="8"/>
            <color indexed="81"/>
            <rFont val="Tahoma"/>
            <family val="2"/>
          </rPr>
          <t xml:space="preserve">
Tiraje de 1000 ejemplares por cada volumen. 6 volúmenes en total aproximadamente.</t>
        </r>
      </text>
    </comment>
    <comment ref="J50" authorId="1">
      <text>
        <r>
          <rPr>
            <b/>
            <sz val="8"/>
            <color indexed="81"/>
            <rFont val="Tahoma"/>
            <family val="2"/>
          </rPr>
          <t>lrios:</t>
        </r>
        <r>
          <rPr>
            <sz val="8"/>
            <color indexed="81"/>
            <rFont val="Tahoma"/>
            <family val="2"/>
          </rPr>
          <t xml:space="preserve">
Tiraje de 1000 ejemplares por cada original. 4 originales diferentes</t>
        </r>
      </text>
    </comment>
    <comment ref="R51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revisar porque en el precio unitario se le mete iva</t>
        </r>
      </text>
    </comment>
    <comment ref="R52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revisar porque en el precio unitario se le mete iva</t>
        </r>
      </text>
    </comment>
    <comment ref="R53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revisar porque en el precio unitario se le mete iva</t>
        </r>
      </text>
    </comment>
    <comment ref="R54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revisar porque en el precio unitario se le mete iva</t>
        </r>
      </text>
    </comment>
    <comment ref="J55" authorId="1">
      <text>
        <r>
          <rPr>
            <b/>
            <sz val="8"/>
            <color indexed="81"/>
            <rFont val="Tahoma"/>
            <family val="2"/>
          </rPr>
          <t>lrios:</t>
        </r>
        <r>
          <rPr>
            <sz val="8"/>
            <color indexed="81"/>
            <rFont val="Tahoma"/>
            <family val="2"/>
          </rPr>
          <t xml:space="preserve">
Tiraje de 1000 ejemplares por cada guía.  3 guías  en total.</t>
        </r>
      </text>
    </comment>
    <comment ref="R55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revisar porque en el precio unitario se le mete iva</t>
        </r>
      </text>
    </comment>
    <comment ref="D64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No se cotizó por la imprenta editores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No se cotizó por la imprenta editores</t>
        </r>
      </text>
    </comment>
    <comment ref="Q81" authorId="2">
      <text>
        <r>
          <rPr>
            <b/>
            <sz val="8"/>
            <color indexed="81"/>
            <rFont val="Tahoma"/>
            <family val="2"/>
          </rPr>
          <t>Gina Herazo:</t>
        </r>
        <r>
          <rPr>
            <sz val="8"/>
            <color indexed="81"/>
            <rFont val="Tahoma"/>
            <family val="2"/>
          </rPr>
          <t xml:space="preserve">
IVA para los productos que aplica</t>
        </r>
      </text>
    </comment>
  </commentList>
</comments>
</file>

<file path=xl/sharedStrings.xml><?xml version="1.0" encoding="utf-8"?>
<sst xmlns="http://schemas.openxmlformats.org/spreadsheetml/2006/main" count="401" uniqueCount="220">
  <si>
    <t>ITEM #</t>
  </si>
  <si>
    <t>AREA SOLICITANTE</t>
  </si>
  <si>
    <t>DESCRIPCION DETALLADA</t>
  </si>
  <si>
    <t>DIMENSIONES</t>
  </si>
  <si>
    <t>TINTAS</t>
  </si>
  <si>
    <t>TIPO DE PAPEL</t>
  </si>
  <si>
    <t>GRAMAJE</t>
  </si>
  <si>
    <t>TERMINADO</t>
  </si>
  <si>
    <t>CANTIDAD PROBABLE A SOLICITAR</t>
  </si>
  <si>
    <t>PRECIO UNITARIO (ENTRE 1 Y 200) con iva</t>
  </si>
  <si>
    <t xml:space="preserve">PRECIO UNITARIO (ENTRE  201 Y 500) </t>
  </si>
  <si>
    <t>PRECIO UNITARIO (ENTRE  501 Y 1000)</t>
  </si>
  <si>
    <t>PRECIO UNITARIO (ENTRE 1001 Y 2000)</t>
  </si>
  <si>
    <t>PRECIO UNITARIO (ENTRE 2001 Y 4000)</t>
  </si>
  <si>
    <t>PRECIO UNITARIO (ENTRE 4001 Y 8000)</t>
  </si>
  <si>
    <t>PRECIO UNITARIO MAS DE 8000</t>
  </si>
  <si>
    <t>OFICINA DE COMUNICACIÓN Y MERCADEO</t>
  </si>
  <si>
    <t>Esferos</t>
  </si>
  <si>
    <t>1 tinta</t>
  </si>
  <si>
    <t xml:space="preserve">Retractil azul, tinta negra </t>
  </si>
  <si>
    <t>Periódico institucional</t>
  </si>
  <si>
    <t>21.5 x 30</t>
  </si>
  <si>
    <t>1 x 1</t>
  </si>
  <si>
    <t xml:space="preserve">bond </t>
  </si>
  <si>
    <t>90 gramos</t>
  </si>
  <si>
    <t>16 páginas cosido caballete</t>
  </si>
  <si>
    <t>Carpetas institucionales</t>
  </si>
  <si>
    <t>49 x40</t>
  </si>
  <si>
    <t>1x0</t>
  </si>
  <si>
    <t xml:space="preserve">cote </t>
  </si>
  <si>
    <t>240 gramos</t>
  </si>
  <si>
    <t>Plegada, laminada mate</t>
  </si>
  <si>
    <t>Pendones</t>
  </si>
  <si>
    <t>1 metro x 2 metros</t>
  </si>
  <si>
    <t>4 x 0</t>
  </si>
  <si>
    <t xml:space="preserve">banner </t>
  </si>
  <si>
    <t>16 libras</t>
  </si>
  <si>
    <t>Con tubo y lazo para colgar</t>
  </si>
  <si>
    <t xml:space="preserve">Portafolio </t>
  </si>
  <si>
    <t>1 cuartilla plegada en 3 cuerpos tamaño abierto de 49 x 22cms. Cerrado 22 x 22cms. 2 x 2 tintas
2 cuartillas plegadas en 2 cuerpos, cada una de 42 x 22cms abierto, cerrado de 21 x 22 cms, a 2 x 2 tintas</t>
  </si>
  <si>
    <t>Cosido caballete</t>
  </si>
  <si>
    <t>Cuaderno institucional</t>
  </si>
  <si>
    <t>22 x22</t>
  </si>
  <si>
    <t>Carátula 2x0, interiores 1x1</t>
  </si>
  <si>
    <t>Carátula en papel cote 150 sobre carton 2mm, interiores 100 hojas en papel bond 75 gramos</t>
  </si>
  <si>
    <t>Tapa dura espiralados, carátula plastificado mate</t>
  </si>
  <si>
    <t>Calendario institucional</t>
  </si>
  <si>
    <t>Base: 18 cm x 37.4 abierta), cerrado 18 x 14.7</t>
  </si>
  <si>
    <t xml:space="preserve"> Base 2x0, hojas 2x2</t>
  </si>
  <si>
    <t>Base: maule RB c20 300, hojas santorial mate 200 gramos</t>
  </si>
  <si>
    <t>anillado doble O, interiores 2 hojas calendario e información especial en papel bond 74 gramos  a 1x1 troquelados</t>
  </si>
  <si>
    <t xml:space="preserve">Plegable </t>
  </si>
  <si>
    <t>22x28</t>
  </si>
  <si>
    <t>4x4</t>
  </si>
  <si>
    <t>cote</t>
  </si>
  <si>
    <t>150 gramos</t>
  </si>
  <si>
    <t>plegados</t>
  </si>
  <si>
    <t>Libreta</t>
  </si>
  <si>
    <t>12.5 x  18.5</t>
  </si>
  <si>
    <t>Carátula 1x0, interiores 1x1</t>
  </si>
  <si>
    <t>carátula cote , interiores bond 75 gramos</t>
  </si>
  <si>
    <t>Carátula laminada 1 cara brillante, anillado</t>
  </si>
  <si>
    <t>Tome 1 canales de servicio y atención al ciudadano</t>
  </si>
  <si>
    <t>9 x21</t>
  </si>
  <si>
    <t>4 x 4</t>
  </si>
  <si>
    <t>Cote</t>
  </si>
  <si>
    <t>200 gramos</t>
  </si>
  <si>
    <t>Laminado  mate doble cara</t>
  </si>
  <si>
    <t>Tome 1 validación</t>
  </si>
  <si>
    <t>Tome 1 saber pro 2013  primer semestre</t>
  </si>
  <si>
    <t>Afiche saber pro 2013 primer semestre</t>
  </si>
  <si>
    <t>49 x 34</t>
  </si>
  <si>
    <t>4x0</t>
  </si>
  <si>
    <t>refilados</t>
  </si>
  <si>
    <t>Plegable saber pro 2013 primer semestre</t>
  </si>
  <si>
    <t>24x28</t>
  </si>
  <si>
    <t>plegado 2 cuerpos</t>
  </si>
  <si>
    <t>Empaque kit personalizado con sticker 2013 primer semestre</t>
  </si>
  <si>
    <t>Tome 1 saber pro 2013  segundo semestre</t>
  </si>
  <si>
    <t>Afiche saber pro 2013 segundo semestre</t>
  </si>
  <si>
    <t>Plegable saber pro 2013 segundo semestre</t>
  </si>
  <si>
    <t>Empaque kit personalizado con sticker 2013 segundo semestre</t>
  </si>
  <si>
    <t>Tome 1 saber 11 a y b 2013 dos aplicaciones</t>
  </si>
  <si>
    <t>Afiche saber 11 a y b 2013 dos aplicaciones</t>
  </si>
  <si>
    <t>Plegable saber 11 ay b 2013 dos aplicaciones</t>
  </si>
  <si>
    <t>Empaque kit personalizado con sticker dos aplicaciones</t>
  </si>
  <si>
    <t>OFICINA ASESORA DE GESTION DE PROYECTOS DE INVESTIGACIÓN</t>
  </si>
  <si>
    <t>CERTIFICADO ASISTENCIA EVENTOS</t>
  </si>
  <si>
    <t>CARTA</t>
  </si>
  <si>
    <t>2 X 0</t>
  </si>
  <si>
    <t>OPALINA</t>
  </si>
  <si>
    <t>180 GRS</t>
  </si>
  <si>
    <t>ESCARAPELAS</t>
  </si>
  <si>
    <t>10,5 x 12,5</t>
  </si>
  <si>
    <t>180 grs</t>
  </si>
  <si>
    <t>AFICHES EN UNIVERSIDADES, REFILADOS</t>
  </si>
  <si>
    <t>50 X 35</t>
  </si>
  <si>
    <t>4 X 0</t>
  </si>
  <si>
    <t>PPCOTE</t>
  </si>
  <si>
    <t>200 GRS</t>
  </si>
  <si>
    <t>ESFEROS</t>
  </si>
  <si>
    <t>Marcación con Logotipo a 1 tinta</t>
  </si>
  <si>
    <t>N/A</t>
  </si>
  <si>
    <t>PENDONES</t>
  </si>
  <si>
    <t>13 OZ 200CMS X 100 CMS</t>
  </si>
  <si>
    <t>BANNER</t>
  </si>
  <si>
    <t>PLEGABLE PLEGADO Y GRAFADO A 3 CUERPOS, PRESENTADO EN FAJOS DE 100 UNIDADES</t>
  </si>
  <si>
    <t>3 X 3</t>
  </si>
  <si>
    <t>CARPETA, BRILLO UV PARCIAL DOS CARAS, TROQUELADAS Y PLEGADAS A 3 CUERPOS, PEGADO BOLSILLO INTERNO</t>
  </si>
  <si>
    <t>23 X 60 ABIERTO Y 23 X 20 CERRADA</t>
  </si>
  <si>
    <t>4 X 4</t>
  </si>
  <si>
    <t>240 GRS</t>
  </si>
  <si>
    <t>INVITACIONES VIP CON SOBRE, HOJA IMPRESIÓN DIGITAL</t>
  </si>
  <si>
    <t>17 X 12</t>
  </si>
  <si>
    <t>250 GRS</t>
  </si>
  <si>
    <t xml:space="preserve">LIBRETA , DOS TAPAS DE POLICOVER TRANSPARENTE, 100 HOJAS INTERNAS, TERMINADO: ARGOLLADO DOBLE O METALICO BLANCO, PLASTIFICADO MATE Y UV PARCIAL PARA LA CARÁTULA. </t>
  </si>
  <si>
    <t xml:space="preserve">12,5 X 18,5 CMS. </t>
  </si>
  <si>
    <t>CARATULA 4 X 0, CONTRACARATULA 4 X 0, HOJAS INTERNAS 1X1</t>
  </si>
  <si>
    <t xml:space="preserve">2 TAPAS DE POLICOVER TRANSPARENTE, TAPA Y CONTRATAPA DURA+ PPCOTE+CARTÓN DE 1,5 MM, HOJAS INTERNAS EN BOND </t>
  </si>
  <si>
    <t>TAPA Y CONTRATAPA DURA + COTE DE 150 GRS., MAS CARTON DE 1,5 MM, HOJAS INTERNAS EN BOND DE 75 GRS</t>
  </si>
  <si>
    <t>POSTERS</t>
  </si>
  <si>
    <t>100 x 140</t>
  </si>
  <si>
    <t>Impresión digital</t>
  </si>
  <si>
    <t>CALCIO</t>
  </si>
  <si>
    <t>DUPLICACIONES</t>
  </si>
  <si>
    <t>DUPLICADO DE UN ORGINAL EN BOND DE 75 GRS TAMANO CARTA EN BLANCO Y NEGRO</t>
  </si>
  <si>
    <t>SUBDIRECCION DE ANALISIS Y DIVULGACION, FRECUENCIA DE ENTREGA: VER DESCRIPCION DE LOS ÍTEMS</t>
  </si>
  <si>
    <t>Esferos marcados</t>
  </si>
  <si>
    <t>14 cm</t>
  </si>
  <si>
    <t>Marcado en tinta blanca con logo ICFES</t>
  </si>
  <si>
    <t>Esfero retráctil, pasta azul rey semitransparente y mate, marcado en el centro con tinta blanca con el logo ICFES y tinta de escritura negra</t>
  </si>
  <si>
    <t>* Informe: Colombia en PISA lectura electrónica  (60 paginas)</t>
  </si>
  <si>
    <t xml:space="preserve">CARATULA 4 X 2, HOJAS INTERIORES 2 X 2 </t>
  </si>
  <si>
    <t>CARATULA EN PROPALMATE Y PAGINAS INTERIORES PAPEL BOND</t>
  </si>
  <si>
    <t>240 GRS/ BOND 75 GRS</t>
  </si>
  <si>
    <t>Cocido al caballete</t>
  </si>
  <si>
    <t>Boletín de divulgación "ICFES in focus".  Publicación de 4 páginas, con periodicidad de 2 meses aproximadamente. (1000 ejemplares por volumen)</t>
  </si>
  <si>
    <t xml:space="preserve">2 X 2 </t>
  </si>
  <si>
    <t>PAPEL BOND</t>
  </si>
  <si>
    <t>BOND 90 GRS</t>
  </si>
  <si>
    <t>Plegable informativo para divulgación (Grafado a 3 cuerpos) (4 originales diferentes con un tiraje de 1000 para cada uno)</t>
  </si>
  <si>
    <t xml:space="preserve">3 X 2 </t>
  </si>
  <si>
    <t>Papel Propal Cote</t>
  </si>
  <si>
    <t>Grafado a 3 cuerpos, impreso por doble cara y presentado en fajos de 100 unidades</t>
  </si>
  <si>
    <t>* Informe: Que nos dice PISA 2009 sobre la lectura de los jóvenes colombianos de 15 años (60 paginas)</t>
  </si>
  <si>
    <t>* Informe: Colombia en PISA 2009 Síntesis de resultados (60 paginas)</t>
  </si>
  <si>
    <t>CARATULA 4 X 0, HOJAS INTERIORES 2 X2</t>
  </si>
  <si>
    <t>241 GRS/ BOND 75 GRS</t>
  </si>
  <si>
    <t>* Informe: Reporte de resultados en Saber 5o y 9o 2011 (Muestra) (200 páginas aproximadamente)</t>
  </si>
  <si>
    <t>CARATULA 4 X 0, HOJAS INTERIORES 2 X3</t>
  </si>
  <si>
    <t>242 GRS/ BOND 75 GRS</t>
  </si>
  <si>
    <t>Pegado al lomo</t>
  </si>
  <si>
    <t>* Informe: Colombia en PIRLS 2011 Síntesis de resultados (60 paginas)</t>
  </si>
  <si>
    <t>* Guías de orientaciones: Guias de orientaciones para Saber 3o, Saber 5o y 9o y Factores asociados 2012. (3 originales de 60 páginas aproximadamente cada uno)</t>
  </si>
  <si>
    <t xml:space="preserve">SUBDIRECCION DE APLICACION DE  INSTRUMENTOS
</t>
  </si>
  <si>
    <t>ESTUDIO PRINCIPAL PISA, FRECUENCIA DE ENTREGA: PRIMERA SEMANA MES DE ABRIL</t>
  </si>
  <si>
    <t>AFICHES SOCIALIZACION</t>
  </si>
  <si>
    <t>MANILLAS</t>
  </si>
  <si>
    <t>6,5 CMS DIAMT.</t>
  </si>
  <si>
    <r>
      <t>GUIAS PISA PARA ADULTOS, TAPA</t>
    </r>
    <r>
      <rPr>
        <sz val="10"/>
        <rFont val="Calibri"/>
        <family val="2"/>
      </rPr>
      <t xml:space="preserve"> + 100 PÁGINAS COSIDAS AL CABALLETE3 CON DOS GANCHOS</t>
    </r>
  </si>
  <si>
    <t xml:space="preserve"> 16,5 X 23,5 CERRADO - 16,5 X 47,0 ABIERTO </t>
  </si>
  <si>
    <t>3 X 3 TODAS LAS PAGINAS INCLUYENDO LA CARÁTULA</t>
  </si>
  <si>
    <t>CARATULA EN PROPALMATE, PAGINAS INTERIORES EN BOND</t>
  </si>
  <si>
    <t>200 GRS/BOND 75</t>
  </si>
  <si>
    <t>CERTIFICADOS DE PARTICIPACION PARA INSTITUCIONES, 3 DISEÑOS, PERSONALIZADOS SEGÚN BASE DE DATOS SUMINISTRADA POR EL ICFES</t>
  </si>
  <si>
    <t xml:space="preserve"> 3 X 0</t>
  </si>
  <si>
    <t>PROPALCOTE DE 200 GRS</t>
  </si>
  <si>
    <t>200  GRS</t>
  </si>
  <si>
    <t>CERTIFICADOS DE PARTICIPACION PARA ESTUDIANTES 3 DISEÑOS, PERSONALIZADOS SEGÚN BASE DE DATOS SUMINISTRADA POR EL ICFES</t>
  </si>
  <si>
    <t xml:space="preserve"> 4 X 0</t>
  </si>
  <si>
    <t>SEPARADORES, SEMICORTE INTERIOR</t>
  </si>
  <si>
    <t>14,5 X 15,5</t>
  </si>
  <si>
    <t>PROPALCOTE</t>
  </si>
  <si>
    <t>PILOTO TERCE, FRECUENCIA DE ENTREGA: PRIMERA SEMANA MES DE AGOSTO</t>
  </si>
  <si>
    <t xml:space="preserve">BOTONES </t>
  </si>
  <si>
    <r>
      <t>GUIAS TERCE PARA ADULTOS, TAPA</t>
    </r>
    <r>
      <rPr>
        <sz val="10"/>
        <rFont val="Calibri"/>
        <family val="2"/>
      </rPr>
      <t xml:space="preserve"> + 100 PÁGINAS COSIDAS AL CABALLETE3 CON DOS GANCHOS</t>
    </r>
  </si>
  <si>
    <t>PILOTO AHELO, FRECUENCIA DE ENTREGA: PRIMERA SEMANA MES DE (por definir)</t>
  </si>
  <si>
    <r>
      <t>GUIAS AHELO PARA ADULTOS, TAPA</t>
    </r>
    <r>
      <rPr>
        <sz val="10"/>
        <rFont val="Calibri"/>
        <family val="2"/>
      </rPr>
      <t xml:space="preserve"> + 100 PÁGINAS COSIDAS AL CABALLETE3 CON DOS GANCHOS</t>
    </r>
  </si>
  <si>
    <t>TALENTO HUMANO</t>
  </si>
  <si>
    <t>TARJETA, HOJA SUELTA REFILADO CON PUNTAS REDONDAS, IMPRESIÓN DIGITAL. PRESENTACION: UNIDAD, DOS ENTREGAS EN EL AÑO 200 TARJETAS POR CADA ENTREGA</t>
  </si>
  <si>
    <t>5,5 X 8,5</t>
  </si>
  <si>
    <t>2 X 1</t>
  </si>
  <si>
    <t>CARTILLA, INSTRUCTIVO BRIGADISTAS, 20 PAGINAS INTERIORES, FRECUENCIA DE ENTREGA: FEBRERO - MARZO</t>
  </si>
  <si>
    <t>14 X 22</t>
  </si>
  <si>
    <t>CARATULA EN PPCOTE Y HOJAS INTERIORES EN BOND</t>
  </si>
  <si>
    <t>200 GRS/LASER 75 GRS</t>
  </si>
  <si>
    <t>AFICHES , REFILADOS, ENTREGA MES DE FEBRERO</t>
  </si>
  <si>
    <t>30 X 46,8</t>
  </si>
  <si>
    <t>Subtotal</t>
  </si>
  <si>
    <t>IVA</t>
  </si>
  <si>
    <t>TOTAL</t>
  </si>
  <si>
    <t>*ESTOS ITEMS QUE CORREPONDEN A LA SUBDIRECCION DE ANÁLISIS Y DIVULGACION, NO CAUSAN IVA</t>
  </si>
  <si>
    <t>VALOR UNITARIO</t>
  </si>
  <si>
    <t>VALOR TOTAL</t>
  </si>
  <si>
    <t>VALORES MINIMOS DE  LAS COTIZACIONES</t>
  </si>
  <si>
    <t xml:space="preserve">PROMEDIO </t>
  </si>
  <si>
    <t>FACTORES DE EVALUACION</t>
  </si>
  <si>
    <t>PUNTAJE POR FACTOR</t>
  </si>
  <si>
    <t>PUNTAJE TOTAL</t>
  </si>
  <si>
    <t xml:space="preserve">TECNICO </t>
  </si>
  <si>
    <t>2. Experiencia adicional del ejecutivo de cuenta</t>
  </si>
  <si>
    <t>ECONOMICO</t>
  </si>
  <si>
    <r>
      <t>3</t>
    </r>
    <r>
      <rPr>
        <b/>
        <sz val="10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Apoyo a la Industria Nacional</t>
    </r>
  </si>
  <si>
    <t>1. Experiencia adicional a la mínima solicitada</t>
  </si>
  <si>
    <t>ESTUDIO DE MERCADO- COMPARATIVO DE OFERTAS</t>
  </si>
  <si>
    <t>SUBTOTAL OFICINA DE GESTION DE PROYECTOS DE INVESTIGACION</t>
  </si>
  <si>
    <t>SUBTOTAL SUBDIRECCION DE ANALISIS Y DIVULGACION</t>
  </si>
  <si>
    <t>SUBTOTAL SUBDIRECCION DE APLICACIÓN DE INSTRUMENTOS</t>
  </si>
  <si>
    <t>SUBTOTAL SUBDIRECCION DE TALENTO HUMANO</t>
  </si>
  <si>
    <t>SUBTOTAL OFICINA DE COMUNICACIONES Y MERCADEO</t>
  </si>
  <si>
    <t>PROVEEDOR 1</t>
  </si>
  <si>
    <t>PROVEEDOR 2</t>
  </si>
  <si>
    <t>PROVEEDOR 3</t>
  </si>
  <si>
    <t>PROVEEDOR 4</t>
  </si>
  <si>
    <t>PROVEEDOR 5</t>
  </si>
  <si>
    <t>PROVEEDOR 6</t>
  </si>
  <si>
    <t>TOTAL PROVEEDOR 1</t>
  </si>
  <si>
    <t>TOTAL PROVEEDOR 2</t>
  </si>
  <si>
    <t>TOTAL PROVEEDOR 3</t>
  </si>
  <si>
    <t>TOTAL PROVEEDOR 4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</si>
</sst>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[$$-2C0A]\ #,##0"/>
    <numFmt numFmtId="166" formatCode="[$$-240A]\ #,##0"/>
    <numFmt numFmtId="167" formatCode="_-[$$-240A]\ * #,##0_ ;_-[$$-240A]\ * \-#,##0\ ;_-[$$-240A]\ * &quot;-&quot;_ ;_-@_ 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rgb="FFFF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ED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8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 shrinkToFit="1"/>
    </xf>
    <xf numFmtId="0" fontId="8" fillId="5" borderId="6" xfId="0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 wrapText="1" shrinkToFit="1"/>
    </xf>
    <xf numFmtId="0" fontId="8" fillId="5" borderId="8" xfId="0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2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 shrinkToFit="1"/>
    </xf>
    <xf numFmtId="0" fontId="8" fillId="5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 shrinkToFit="1"/>
    </xf>
    <xf numFmtId="0" fontId="8" fillId="5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 shrinkToFit="1"/>
    </xf>
    <xf numFmtId="0" fontId="8" fillId="5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 shrinkToFit="1"/>
    </xf>
    <xf numFmtId="0" fontId="8" fillId="5" borderId="1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6" fontId="2" fillId="11" borderId="8" xfId="0" applyNumberFormat="1" applyFont="1" applyFill="1" applyBorder="1" applyAlignment="1">
      <alignment horizontal="center" vertical="center"/>
    </xf>
    <xf numFmtId="166" fontId="2" fillId="10" borderId="8" xfId="0" applyNumberFormat="1" applyFont="1" applyFill="1" applyBorder="1" applyAlignment="1">
      <alignment horizontal="center" vertical="center"/>
    </xf>
    <xf numFmtId="166" fontId="2" fillId="12" borderId="8" xfId="0" applyNumberFormat="1" applyFont="1" applyFill="1" applyBorder="1" applyAlignment="1">
      <alignment horizontal="center" vertical="center"/>
    </xf>
    <xf numFmtId="166" fontId="2" fillId="12" borderId="8" xfId="0" applyNumberFormat="1" applyFont="1" applyFill="1" applyBorder="1" applyAlignment="1">
      <alignment vertical="center"/>
    </xf>
    <xf numFmtId="166" fontId="9" fillId="12" borderId="8" xfId="0" applyNumberFormat="1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166" fontId="2" fillId="13" borderId="8" xfId="0" applyNumberFormat="1" applyFont="1" applyFill="1" applyBorder="1" applyAlignment="1">
      <alignment horizontal="center" vertical="center"/>
    </xf>
    <xf numFmtId="166" fontId="2" fillId="14" borderId="8" xfId="0" applyNumberFormat="1" applyFont="1" applyFill="1" applyBorder="1" applyAlignment="1">
      <alignment horizontal="center" vertical="center"/>
    </xf>
    <xf numFmtId="166" fontId="2" fillId="15" borderId="8" xfId="0" applyNumberFormat="1" applyFont="1" applyFill="1" applyBorder="1" applyAlignment="1">
      <alignment horizontal="center" vertical="center"/>
    </xf>
    <xf numFmtId="166" fontId="2" fillId="15" borderId="13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7" fillId="17" borderId="39" xfId="0" applyFont="1" applyFill="1" applyBorder="1" applyAlignment="1">
      <alignment wrapText="1"/>
    </xf>
    <xf numFmtId="0" fontId="7" fillId="17" borderId="48" xfId="0" applyFont="1" applyFill="1" applyBorder="1" applyAlignment="1"/>
    <xf numFmtId="0" fontId="7" fillId="17" borderId="49" xfId="0" applyFont="1" applyFill="1" applyBorder="1" applyAlignment="1"/>
    <xf numFmtId="0" fontId="7" fillId="19" borderId="44" xfId="0" applyFont="1" applyFill="1" applyBorder="1" applyAlignment="1">
      <alignment wrapText="1"/>
    </xf>
    <xf numFmtId="0" fontId="7" fillId="19" borderId="43" xfId="0" applyFont="1" applyFill="1" applyBorder="1" applyAlignment="1">
      <alignment wrapText="1"/>
    </xf>
    <xf numFmtId="0" fontId="7" fillId="17" borderId="38" xfId="0" applyFont="1" applyFill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166" fontId="2" fillId="20" borderId="8" xfId="0" applyNumberFormat="1" applyFont="1" applyFill="1" applyBorder="1" applyAlignment="1">
      <alignment horizontal="center" vertical="center"/>
    </xf>
    <xf numFmtId="166" fontId="2" fillId="20" borderId="8" xfId="0" applyNumberFormat="1" applyFont="1" applyFill="1" applyBorder="1" applyAlignment="1">
      <alignment vertical="center"/>
    </xf>
    <xf numFmtId="0" fontId="2" fillId="20" borderId="8" xfId="0" applyFont="1" applyFill="1" applyBorder="1" applyAlignment="1">
      <alignment vertical="center"/>
    </xf>
    <xf numFmtId="166" fontId="2" fillId="2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65" fontId="2" fillId="11" borderId="30" xfId="0" applyNumberFormat="1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>
      <alignment horizontal="center" vertical="center"/>
    </xf>
    <xf numFmtId="165" fontId="2" fillId="20" borderId="30" xfId="0" applyNumberFormat="1" applyFont="1" applyFill="1" applyBorder="1" applyAlignment="1">
      <alignment horizontal="center" vertical="center"/>
    </xf>
    <xf numFmtId="165" fontId="17" fillId="11" borderId="30" xfId="0" applyNumberFormat="1" applyFont="1" applyFill="1" applyBorder="1" applyAlignment="1">
      <alignment horizontal="center" vertical="center"/>
    </xf>
    <xf numFmtId="165" fontId="2" fillId="11" borderId="33" xfId="0" applyNumberFormat="1" applyFont="1" applyFill="1" applyBorder="1" applyAlignment="1">
      <alignment horizontal="center" vertical="center"/>
    </xf>
    <xf numFmtId="166" fontId="2" fillId="11" borderId="17" xfId="0" applyNumberFormat="1" applyFont="1" applyFill="1" applyBorder="1" applyAlignment="1">
      <alignment horizontal="center" vertical="center"/>
    </xf>
    <xf numFmtId="166" fontId="2" fillId="12" borderId="17" xfId="0" applyNumberFormat="1" applyFont="1" applyFill="1" applyBorder="1" applyAlignment="1">
      <alignment horizontal="center" vertical="center"/>
    </xf>
    <xf numFmtId="166" fontId="2" fillId="12" borderId="17" xfId="0" applyNumberFormat="1" applyFont="1" applyFill="1" applyBorder="1" applyAlignment="1">
      <alignment vertical="center"/>
    </xf>
    <xf numFmtId="0" fontId="2" fillId="10" borderId="17" xfId="0" applyFont="1" applyFill="1" applyBorder="1" applyAlignment="1">
      <alignment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2" fillId="13" borderId="17" xfId="0" applyNumberFormat="1" applyFont="1" applyFill="1" applyBorder="1" applyAlignment="1">
      <alignment horizontal="center" vertical="center"/>
    </xf>
    <xf numFmtId="166" fontId="2" fillId="14" borderId="17" xfId="0" applyNumberFormat="1" applyFont="1" applyFill="1" applyBorder="1" applyAlignment="1">
      <alignment horizontal="center" vertical="center"/>
    </xf>
    <xf numFmtId="166" fontId="2" fillId="15" borderId="17" xfId="0" applyNumberFormat="1" applyFont="1" applyFill="1" applyBorder="1" applyAlignment="1">
      <alignment horizontal="center" vertical="center"/>
    </xf>
    <xf numFmtId="166" fontId="2" fillId="15" borderId="18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6" fontId="2" fillId="2" borderId="34" xfId="0" applyNumberFormat="1" applyFont="1" applyFill="1" applyBorder="1" applyAlignment="1">
      <alignment horizontal="center" vertical="center"/>
    </xf>
    <xf numFmtId="166" fontId="2" fillId="0" borderId="5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11" borderId="65" xfId="0" applyFont="1" applyFill="1" applyBorder="1" applyAlignment="1">
      <alignment horizontal="center" vertical="center" wrapText="1"/>
    </xf>
    <xf numFmtId="0" fontId="16" fillId="11" borderId="25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/>
    </xf>
    <xf numFmtId="0" fontId="16" fillId="13" borderId="64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/>
    </xf>
    <xf numFmtId="0" fontId="16" fillId="14" borderId="25" xfId="0" applyFont="1" applyFill="1" applyBorder="1" applyAlignment="1">
      <alignment horizontal="center" vertical="center"/>
    </xf>
    <xf numFmtId="0" fontId="16" fillId="15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11" borderId="27" xfId="0" applyNumberFormat="1" applyFont="1" applyFill="1" applyBorder="1" applyAlignment="1">
      <alignment horizontal="center" vertical="center"/>
    </xf>
    <xf numFmtId="166" fontId="2" fillId="11" borderId="6" xfId="0" applyNumberFormat="1" applyFont="1" applyFill="1" applyBorder="1" applyAlignment="1">
      <alignment horizontal="center" vertical="center"/>
    </xf>
    <xf numFmtId="166" fontId="2" fillId="12" borderId="6" xfId="0" applyNumberFormat="1" applyFont="1" applyFill="1" applyBorder="1" applyAlignment="1">
      <alignment horizontal="center" vertical="center"/>
    </xf>
    <xf numFmtId="166" fontId="2" fillId="12" borderId="6" xfId="0" applyNumberFormat="1" applyFont="1" applyFill="1" applyBorder="1" applyAlignment="1">
      <alignment vertical="center"/>
    </xf>
    <xf numFmtId="166" fontId="2" fillId="20" borderId="6" xfId="0" applyNumberFormat="1" applyFont="1" applyFill="1" applyBorder="1" applyAlignment="1">
      <alignment vertical="center"/>
    </xf>
    <xf numFmtId="166" fontId="2" fillId="20" borderId="6" xfId="0" applyNumberFormat="1" applyFont="1" applyFill="1" applyBorder="1" applyAlignment="1">
      <alignment horizontal="center" vertical="center"/>
    </xf>
    <xf numFmtId="166" fontId="2" fillId="13" borderId="6" xfId="0" applyNumberFormat="1" applyFont="1" applyFill="1" applyBorder="1" applyAlignment="1">
      <alignment horizontal="center" vertical="center"/>
    </xf>
    <xf numFmtId="166" fontId="2" fillId="14" borderId="6" xfId="0" applyNumberFormat="1" applyFont="1" applyFill="1" applyBorder="1" applyAlignment="1">
      <alignment horizontal="center" vertical="center"/>
    </xf>
    <xf numFmtId="166" fontId="2" fillId="15" borderId="6" xfId="0" applyNumberFormat="1" applyFont="1" applyFill="1" applyBorder="1" applyAlignment="1">
      <alignment horizontal="center" vertical="center"/>
    </xf>
    <xf numFmtId="166" fontId="2" fillId="15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28" xfId="0" applyNumberFormat="1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5" fontId="2" fillId="20" borderId="33" xfId="0" applyNumberFormat="1" applyFont="1" applyFill="1" applyBorder="1" applyAlignment="1">
      <alignment horizontal="center" vertical="center"/>
    </xf>
    <xf numFmtId="166" fontId="2" fillId="20" borderId="17" xfId="0" applyNumberFormat="1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vertical="center"/>
    </xf>
    <xf numFmtId="166" fontId="2" fillId="20" borderId="18" xfId="0" applyNumberFormat="1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166" fontId="2" fillId="10" borderId="6" xfId="0" applyNumberFormat="1" applyFont="1" applyFill="1" applyBorder="1" applyAlignment="1">
      <alignment vertical="center"/>
    </xf>
    <xf numFmtId="166" fontId="2" fillId="10" borderId="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 shrinkToFit="1"/>
    </xf>
    <xf numFmtId="165" fontId="17" fillId="11" borderId="33" xfId="0" applyNumberFormat="1" applyFont="1" applyFill="1" applyBorder="1" applyAlignment="1">
      <alignment horizontal="center" vertical="center"/>
    </xf>
    <xf numFmtId="166" fontId="17" fillId="12" borderId="17" xfId="0" applyNumberFormat="1" applyFont="1" applyFill="1" applyBorder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166" fontId="16" fillId="11" borderId="35" xfId="0" applyNumberFormat="1" applyFont="1" applyFill="1" applyBorder="1" applyAlignment="1">
      <alignment horizontal="center" vertical="center"/>
    </xf>
    <xf numFmtId="166" fontId="16" fillId="12" borderId="35" xfId="0" applyNumberFormat="1" applyFont="1" applyFill="1" applyBorder="1" applyAlignment="1">
      <alignment horizontal="center" vertical="center"/>
    </xf>
    <xf numFmtId="166" fontId="16" fillId="10" borderId="35" xfId="0" applyNumberFormat="1" applyFont="1" applyFill="1" applyBorder="1" applyAlignment="1">
      <alignment horizontal="center" vertical="center"/>
    </xf>
    <xf numFmtId="167" fontId="16" fillId="13" borderId="35" xfId="1" applyNumberFormat="1" applyFont="1" applyFill="1" applyBorder="1" applyAlignment="1">
      <alignment horizontal="center" vertical="center"/>
    </xf>
    <xf numFmtId="166" fontId="16" fillId="14" borderId="35" xfId="0" applyNumberFormat="1" applyFont="1" applyFill="1" applyBorder="1" applyAlignment="1">
      <alignment horizontal="center" vertical="center"/>
    </xf>
    <xf numFmtId="166" fontId="16" fillId="15" borderId="35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166" fontId="2" fillId="2" borderId="68" xfId="0" applyNumberFormat="1" applyFont="1" applyFill="1" applyBorder="1" applyAlignment="1">
      <alignment horizontal="center" vertical="center"/>
    </xf>
    <xf numFmtId="166" fontId="16" fillId="2" borderId="64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166" fontId="16" fillId="2" borderId="6" xfId="0" applyNumberFormat="1" applyFont="1" applyFill="1" applyBorder="1" applyAlignment="1">
      <alignment horizontal="center" vertical="center"/>
    </xf>
    <xf numFmtId="166" fontId="16" fillId="2" borderId="58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16" fillId="15" borderId="6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 vertical="center" wrapText="1"/>
    </xf>
    <xf numFmtId="0" fontId="16" fillId="16" borderId="6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14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 shrinkToFit="1"/>
    </xf>
    <xf numFmtId="0" fontId="5" fillId="6" borderId="1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  <xf numFmtId="0" fontId="5" fillId="6" borderId="14" xfId="0" applyFont="1" applyFill="1" applyBorder="1" applyAlignment="1">
      <alignment horizontal="center" vertical="center" wrapText="1" shrinkToFit="1"/>
    </xf>
    <xf numFmtId="0" fontId="5" fillId="6" borderId="15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center" vertical="center" shrinkToFit="1"/>
    </xf>
    <xf numFmtId="0" fontId="7" fillId="9" borderId="3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9" borderId="14" xfId="0" applyFont="1" applyFill="1" applyBorder="1" applyAlignment="1">
      <alignment horizontal="center" vertical="center" shrinkToFit="1"/>
    </xf>
    <xf numFmtId="0" fontId="7" fillId="9" borderId="15" xfId="0" applyFont="1" applyFill="1" applyBorder="1" applyAlignment="1">
      <alignment horizontal="center" vertical="center" shrinkToFit="1"/>
    </xf>
    <xf numFmtId="0" fontId="7" fillId="7" borderId="22" xfId="0" applyFont="1" applyFill="1" applyBorder="1" applyAlignment="1">
      <alignment horizontal="center" vertical="center" wrapText="1" shrinkToFit="1"/>
    </xf>
    <xf numFmtId="0" fontId="0" fillId="7" borderId="3" xfId="0" applyFill="1" applyBorder="1" applyAlignment="1">
      <alignment horizontal="center" vertical="center" shrinkToFit="1"/>
    </xf>
    <xf numFmtId="0" fontId="7" fillId="7" borderId="24" xfId="0" applyFont="1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7" fillId="8" borderId="26" xfId="0" applyFont="1" applyFill="1" applyBorder="1" applyAlignment="1">
      <alignment horizontal="center" vertical="center" textRotation="90" wrapText="1" shrinkToFit="1"/>
    </xf>
    <xf numFmtId="0" fontId="1" fillId="8" borderId="29" xfId="0" applyFont="1" applyFill="1" applyBorder="1" applyAlignment="1">
      <alignment horizontal="center" vertical="center" textRotation="90" wrapText="1" shrinkToFit="1"/>
    </xf>
    <xf numFmtId="0" fontId="1" fillId="8" borderId="35" xfId="0" applyFont="1" applyFill="1" applyBorder="1" applyAlignment="1">
      <alignment horizontal="center" vertical="center" textRotation="90" wrapText="1" shrinkToFit="1"/>
    </xf>
    <xf numFmtId="0" fontId="7" fillId="8" borderId="2" xfId="0" applyFont="1" applyFill="1" applyBorder="1" applyAlignment="1">
      <alignment horizontal="center" vertical="center" wrapText="1" shrinkToFit="1"/>
    </xf>
    <xf numFmtId="0" fontId="7" fillId="8" borderId="10" xfId="0" applyFont="1" applyFill="1" applyBorder="1" applyAlignment="1">
      <alignment horizontal="center" vertical="center" wrapText="1" shrinkToFit="1"/>
    </xf>
    <xf numFmtId="0" fontId="7" fillId="8" borderId="14" xfId="0" applyFont="1" applyFill="1" applyBorder="1" applyAlignment="1">
      <alignment horizontal="center" vertical="center" wrapText="1" shrinkToFit="1"/>
    </xf>
    <xf numFmtId="0" fontId="7" fillId="8" borderId="26" xfId="0" applyFont="1" applyFill="1" applyBorder="1" applyAlignment="1">
      <alignment horizontal="center" vertical="center" wrapText="1" shrinkToFit="1"/>
    </xf>
    <xf numFmtId="0" fontId="7" fillId="8" borderId="29" xfId="0" applyFont="1" applyFill="1" applyBorder="1" applyAlignment="1">
      <alignment horizontal="center" vertical="center" wrapText="1" shrinkToFit="1"/>
    </xf>
    <xf numFmtId="0" fontId="7" fillId="8" borderId="35" xfId="0" applyFont="1" applyFill="1" applyBorder="1" applyAlignment="1">
      <alignment horizontal="center" vertical="center" wrapText="1" shrinkToFit="1"/>
    </xf>
    <xf numFmtId="0" fontId="18" fillId="18" borderId="50" xfId="0" applyFont="1" applyFill="1" applyBorder="1" applyAlignment="1">
      <alignment horizontal="center" wrapText="1"/>
    </xf>
    <xf numFmtId="0" fontId="18" fillId="18" borderId="51" xfId="0" applyFont="1" applyFill="1" applyBorder="1" applyAlignment="1">
      <alignment horizontal="center" wrapText="1"/>
    </xf>
    <xf numFmtId="0" fontId="18" fillId="18" borderId="5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3" fillId="0" borderId="53" xfId="0" applyFont="1" applyBorder="1" applyAlignment="1">
      <alignment horizontal="justify" wrapText="1"/>
    </xf>
    <xf numFmtId="0" fontId="3" fillId="0" borderId="54" xfId="0" applyFont="1" applyBorder="1" applyAlignment="1">
      <alignment horizontal="justify" wrapText="1"/>
    </xf>
    <xf numFmtId="0" fontId="3" fillId="0" borderId="43" xfId="0" applyFont="1" applyBorder="1" applyAlignment="1">
      <alignment horizontal="justify" wrapText="1"/>
    </xf>
    <xf numFmtId="0" fontId="7" fillId="19" borderId="44" xfId="0" applyFont="1" applyFill="1" applyBorder="1" applyAlignment="1">
      <alignment horizontal="center"/>
    </xf>
    <xf numFmtId="0" fontId="7" fillId="19" borderId="45" xfId="0" applyFont="1" applyFill="1" applyBorder="1" applyAlignment="1">
      <alignment horizontal="center"/>
    </xf>
    <xf numFmtId="0" fontId="7" fillId="19" borderId="43" xfId="0" applyFont="1" applyFill="1" applyBorder="1" applyAlignment="1">
      <alignment horizontal="center"/>
    </xf>
    <xf numFmtId="0" fontId="7" fillId="17" borderId="48" xfId="0" applyFont="1" applyFill="1" applyBorder="1" applyAlignment="1">
      <alignment horizontal="center"/>
    </xf>
    <xf numFmtId="0" fontId="7" fillId="17" borderId="55" xfId="0" applyFont="1" applyFill="1" applyBorder="1" applyAlignment="1">
      <alignment horizontal="center"/>
    </xf>
    <xf numFmtId="0" fontId="7" fillId="17" borderId="56" xfId="0" applyFont="1" applyFill="1" applyBorder="1" applyAlignment="1">
      <alignment horizontal="center"/>
    </xf>
    <xf numFmtId="0" fontId="18" fillId="18" borderId="46" xfId="0" applyFont="1" applyFill="1" applyBorder="1" applyAlignment="1">
      <alignment vertical="center" wrapText="1"/>
    </xf>
    <xf numFmtId="0" fontId="18" fillId="18" borderId="42" xfId="0" applyFont="1" applyFill="1" applyBorder="1" applyAlignment="1">
      <alignment vertical="center" wrapText="1"/>
    </xf>
    <xf numFmtId="0" fontId="18" fillId="18" borderId="47" xfId="0" applyFont="1" applyFill="1" applyBorder="1" applyAlignment="1">
      <alignment vertical="center" wrapText="1"/>
    </xf>
    <xf numFmtId="0" fontId="7" fillId="17" borderId="39" xfId="0" applyFont="1" applyFill="1" applyBorder="1" applyAlignment="1">
      <alignment horizontal="center"/>
    </xf>
    <xf numFmtId="0" fontId="7" fillId="17" borderId="40" xfId="0" applyFont="1" applyFill="1" applyBorder="1" applyAlignment="1">
      <alignment horizontal="center"/>
    </xf>
    <xf numFmtId="0" fontId="7" fillId="17" borderId="41" xfId="0" applyFont="1" applyFill="1" applyBorder="1" applyAlignment="1">
      <alignment horizontal="center"/>
    </xf>
    <xf numFmtId="0" fontId="19" fillId="0" borderId="48" xfId="0" applyFont="1" applyBorder="1" applyAlignment="1">
      <alignment horizontal="justify" wrapText="1"/>
    </xf>
    <xf numFmtId="0" fontId="19" fillId="0" borderId="49" xfId="0" applyFont="1" applyBorder="1" applyAlignment="1">
      <alignment horizontal="justify" wrapText="1"/>
    </xf>
    <xf numFmtId="0" fontId="16" fillId="13" borderId="7" xfId="0" applyFont="1" applyFill="1" applyBorder="1" applyAlignment="1">
      <alignment horizontal="center" vertical="center"/>
    </xf>
    <xf numFmtId="0" fontId="16" fillId="13" borderId="5" xfId="0" applyFont="1" applyFill="1" applyBorder="1" applyAlignment="1">
      <alignment horizontal="center" vertical="center"/>
    </xf>
    <xf numFmtId="166" fontId="16" fillId="11" borderId="35" xfId="0" applyNumberFormat="1" applyFont="1" applyFill="1" applyBorder="1" applyAlignment="1">
      <alignment horizontal="left" vertical="top" wrapText="1"/>
    </xf>
    <xf numFmtId="166" fontId="16" fillId="21" borderId="35" xfId="0" applyNumberFormat="1" applyFont="1" applyFill="1" applyBorder="1" applyAlignment="1">
      <alignment horizontal="left" vertical="top" wrapText="1"/>
    </xf>
    <xf numFmtId="167" fontId="16" fillId="13" borderId="35" xfId="1" applyNumberFormat="1" applyFont="1" applyFill="1" applyBorder="1" applyAlignment="1">
      <alignment horizontal="left" vertical="top" wrapText="1"/>
    </xf>
    <xf numFmtId="166" fontId="16" fillId="15" borderId="35" xfId="0" applyNumberFormat="1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96932</xdr:colOff>
      <xdr:row>7</xdr:row>
      <xdr:rowOff>180976</xdr:rowOff>
    </xdr:from>
    <xdr:ext cx="356893" cy="1847197"/>
    <xdr:sp macro="" textlink="">
      <xdr:nvSpPr>
        <xdr:cNvPr id="2" name="1 CuadroTexto"/>
        <xdr:cNvSpPr txBox="1"/>
      </xdr:nvSpPr>
      <xdr:spPr>
        <a:xfrm>
          <a:off x="323850" y="1485901"/>
          <a:ext cx="356893" cy="1847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302"/>
  <sheetViews>
    <sheetView tabSelected="1" topLeftCell="A3" zoomScale="85" zoomScaleNormal="85" workbookViewId="0">
      <pane ySplit="5" topLeftCell="A8" activePane="bottomLeft" state="frozen"/>
      <selection activeCell="S3" sqref="S3"/>
      <selection pane="bottomLeft" activeCell="AC12" sqref="AC12"/>
    </sheetView>
  </sheetViews>
  <sheetFormatPr baseColWidth="10" defaultColWidth="21.42578125" defaultRowHeight="11.25"/>
  <cols>
    <col min="1" max="1" width="4.85546875" style="2" customWidth="1"/>
    <col min="2" max="2" width="8.5703125" style="2" customWidth="1"/>
    <col min="3" max="3" width="27" style="2" customWidth="1"/>
    <col min="4" max="4" width="33.28515625" style="2" customWidth="1"/>
    <col min="5" max="5" width="21.140625" style="2" hidden="1" customWidth="1"/>
    <col min="6" max="6" width="17" style="2" hidden="1" customWidth="1"/>
    <col min="7" max="7" width="18" style="2" hidden="1" customWidth="1"/>
    <col min="8" max="8" width="21.42578125" style="2" hidden="1" customWidth="1"/>
    <col min="9" max="9" width="26.140625" style="2" hidden="1" customWidth="1"/>
    <col min="10" max="10" width="15.140625" style="2" customWidth="1"/>
    <col min="11" max="11" width="14.5703125" style="2" hidden="1" customWidth="1"/>
    <col min="12" max="12" width="17.85546875" style="2" hidden="1" customWidth="1"/>
    <col min="13" max="13" width="16" style="2" hidden="1" customWidth="1"/>
    <col min="14" max="14" width="15.42578125" style="2" hidden="1" customWidth="1"/>
    <col min="15" max="15" width="12.5703125" style="2" hidden="1" customWidth="1"/>
    <col min="16" max="16" width="11" style="2" hidden="1" customWidth="1"/>
    <col min="17" max="17" width="10.7109375" style="2" hidden="1" customWidth="1"/>
    <col min="18" max="18" width="14.7109375" style="2" customWidth="1"/>
    <col min="19" max="19" width="16" style="2" customWidth="1"/>
    <col min="20" max="20" width="11.140625" style="2" customWidth="1"/>
    <col min="21" max="21" width="16.42578125" style="2" customWidth="1"/>
    <col min="22" max="22" width="14.28515625" style="2" customWidth="1"/>
    <col min="23" max="23" width="18.140625" style="2" customWidth="1"/>
    <col min="24" max="24" width="19.5703125" style="2" customWidth="1"/>
    <col min="25" max="25" width="17.28515625" style="2" customWidth="1"/>
    <col min="26" max="26" width="16" style="2" customWidth="1"/>
    <col min="27" max="27" width="17.42578125" style="2" customWidth="1"/>
    <col min="28" max="28" width="16.7109375" style="2" customWidth="1"/>
    <col min="29" max="29" width="15.7109375" style="2" customWidth="1"/>
    <col min="30" max="30" width="2.28515625" style="114" customWidth="1"/>
    <col min="31" max="31" width="17.28515625" style="2" customWidth="1"/>
    <col min="32" max="32" width="17.140625" style="2" customWidth="1"/>
    <col min="33" max="16384" width="21.42578125" style="2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</row>
    <row r="3" spans="1:32" ht="12.75" customHeight="1">
      <c r="A3" s="3"/>
      <c r="B3" s="205" t="s">
        <v>204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32" ht="12.75" customHeight="1">
      <c r="A4" s="3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</row>
    <row r="5" spans="1:32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32" ht="15" customHeight="1" thickBot="1">
      <c r="A6" s="135"/>
      <c r="B6" s="135"/>
      <c r="C6" s="135"/>
      <c r="D6" s="135"/>
      <c r="E6" s="135"/>
      <c r="F6" s="135"/>
      <c r="G6" s="135"/>
      <c r="H6" s="135"/>
      <c r="I6" s="135"/>
      <c r="J6" s="136"/>
      <c r="K6" s="66"/>
      <c r="L6" s="66"/>
      <c r="M6" s="66"/>
      <c r="N6" s="66"/>
      <c r="O6" s="66"/>
      <c r="P6" s="66"/>
      <c r="Q6" s="84"/>
      <c r="R6" s="214" t="s">
        <v>210</v>
      </c>
      <c r="S6" s="215"/>
      <c r="T6" s="216" t="s">
        <v>211</v>
      </c>
      <c r="U6" s="216"/>
      <c r="V6" s="217" t="s">
        <v>212</v>
      </c>
      <c r="W6" s="217"/>
      <c r="X6" s="277" t="s">
        <v>213</v>
      </c>
      <c r="Y6" s="278"/>
      <c r="Z6" s="218" t="s">
        <v>214</v>
      </c>
      <c r="AA6" s="218"/>
      <c r="AB6" s="209" t="s">
        <v>215</v>
      </c>
      <c r="AC6" s="209"/>
      <c r="AD6" s="116"/>
      <c r="AE6" s="210" t="s">
        <v>195</v>
      </c>
      <c r="AF6" s="212" t="s">
        <v>194</v>
      </c>
    </row>
    <row r="7" spans="1:32" ht="41.25" customHeight="1" thickBot="1">
      <c r="A7" s="137" t="s">
        <v>0</v>
      </c>
      <c r="B7" s="219" t="s">
        <v>1</v>
      </c>
      <c r="C7" s="220"/>
      <c r="D7" s="141" t="s">
        <v>2</v>
      </c>
      <c r="E7" s="142" t="s">
        <v>3</v>
      </c>
      <c r="F7" s="142" t="s">
        <v>4</v>
      </c>
      <c r="G7" s="142" t="s">
        <v>5</v>
      </c>
      <c r="H7" s="143" t="s">
        <v>6</v>
      </c>
      <c r="I7" s="144" t="s">
        <v>7</v>
      </c>
      <c r="J7" s="145" t="s">
        <v>8</v>
      </c>
      <c r="K7" s="146" t="s">
        <v>9</v>
      </c>
      <c r="L7" s="146" t="s">
        <v>10</v>
      </c>
      <c r="M7" s="146" t="s">
        <v>11</v>
      </c>
      <c r="N7" s="146" t="s">
        <v>12</v>
      </c>
      <c r="O7" s="146" t="s">
        <v>13</v>
      </c>
      <c r="P7" s="146" t="s">
        <v>14</v>
      </c>
      <c r="Q7" s="147" t="s">
        <v>15</v>
      </c>
      <c r="R7" s="148" t="s">
        <v>192</v>
      </c>
      <c r="S7" s="149" t="s">
        <v>193</v>
      </c>
      <c r="T7" s="150" t="s">
        <v>192</v>
      </c>
      <c r="U7" s="150" t="s">
        <v>193</v>
      </c>
      <c r="V7" s="151" t="s">
        <v>192</v>
      </c>
      <c r="W7" s="151" t="s">
        <v>193</v>
      </c>
      <c r="X7" s="152" t="s">
        <v>192</v>
      </c>
      <c r="Y7" s="153" t="s">
        <v>193</v>
      </c>
      <c r="Z7" s="154" t="s">
        <v>192</v>
      </c>
      <c r="AA7" s="154" t="s">
        <v>193</v>
      </c>
      <c r="AB7" s="155" t="s">
        <v>192</v>
      </c>
      <c r="AC7" s="155" t="s">
        <v>193</v>
      </c>
      <c r="AD7" s="156"/>
      <c r="AE7" s="211"/>
      <c r="AF7" s="213"/>
    </row>
    <row r="8" spans="1:32" s="1" customFormat="1" ht="63.75" customHeight="1">
      <c r="A8" s="4">
        <v>1</v>
      </c>
      <c r="B8" s="221" t="s">
        <v>16</v>
      </c>
      <c r="C8" s="222"/>
      <c r="D8" s="5" t="s">
        <v>17</v>
      </c>
      <c r="E8" s="6"/>
      <c r="F8" s="6" t="s">
        <v>18</v>
      </c>
      <c r="G8" s="6"/>
      <c r="H8" s="6"/>
      <c r="I8" s="6" t="s">
        <v>19</v>
      </c>
      <c r="J8" s="7">
        <v>5000</v>
      </c>
      <c r="K8" s="157">
        <v>1058</v>
      </c>
      <c r="L8" s="157"/>
      <c r="M8" s="157"/>
      <c r="N8" s="157"/>
      <c r="O8" s="157"/>
      <c r="P8" s="157"/>
      <c r="Q8" s="158"/>
      <c r="R8" s="159">
        <v>1058</v>
      </c>
      <c r="S8" s="160">
        <f>+R8*J8</f>
        <v>5290000</v>
      </c>
      <c r="T8" s="161">
        <f>787*1.16</f>
        <v>912.92</v>
      </c>
      <c r="U8" s="162">
        <f>T8*J8</f>
        <v>4564600</v>
      </c>
      <c r="V8" s="163">
        <v>0</v>
      </c>
      <c r="W8" s="164"/>
      <c r="X8" s="165">
        <v>320</v>
      </c>
      <c r="Y8" s="165">
        <f>+X8*J8</f>
        <v>1600000</v>
      </c>
      <c r="Z8" s="166">
        <v>1200</v>
      </c>
      <c r="AA8" s="166">
        <f>J8*Z8</f>
        <v>6000000</v>
      </c>
      <c r="AB8" s="167">
        <v>682</v>
      </c>
      <c r="AC8" s="168">
        <f>AB8*J8*1.16</f>
        <v>3955599.9999999995</v>
      </c>
      <c r="AD8" s="169"/>
      <c r="AE8" s="170">
        <f>AVERAGE(S8,U8,Y8,AA8,AC8)</f>
        <v>4282040</v>
      </c>
      <c r="AF8" s="171">
        <f>MIN(S8,U8,AA8,AC8,Y8)</f>
        <v>1600000</v>
      </c>
    </row>
    <row r="9" spans="1:32" s="1" customFormat="1" ht="12.75">
      <c r="A9" s="8">
        <v>2</v>
      </c>
      <c r="B9" s="223"/>
      <c r="C9" s="224"/>
      <c r="D9" s="9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1">
        <v>250</v>
      </c>
      <c r="K9" s="12">
        <v>1706</v>
      </c>
      <c r="L9" s="12">
        <v>1223</v>
      </c>
      <c r="M9" s="12">
        <v>940</v>
      </c>
      <c r="N9" s="12">
        <v>844</v>
      </c>
      <c r="O9" s="12">
        <v>622</v>
      </c>
      <c r="P9" s="12">
        <v>482</v>
      </c>
      <c r="Q9" s="85">
        <v>442</v>
      </c>
      <c r="R9" s="117">
        <v>1223</v>
      </c>
      <c r="S9" s="90">
        <f>+R9*J9</f>
        <v>305750</v>
      </c>
      <c r="T9" s="110">
        <f>2965*$S$4</f>
        <v>0</v>
      </c>
      <c r="U9" s="111"/>
      <c r="V9" s="95">
        <v>1375</v>
      </c>
      <c r="W9" s="91">
        <f t="shared" ref="W9:W73" si="0">V9*J9</f>
        <v>343750</v>
      </c>
      <c r="X9" s="96">
        <v>1265</v>
      </c>
      <c r="Y9" s="96">
        <f t="shared" ref="Y9:Y76" si="1">+X9*J9</f>
        <v>316250</v>
      </c>
      <c r="Z9" s="97">
        <v>4700</v>
      </c>
      <c r="AA9" s="97">
        <f t="shared" ref="AA9:AA76" si="2">J9*Z9</f>
        <v>1175000</v>
      </c>
      <c r="AB9" s="98">
        <v>1720</v>
      </c>
      <c r="AC9" s="99">
        <f t="shared" ref="AC9:AC47" si="3">AB9*J9*1.16</f>
        <v>498799.99999999994</v>
      </c>
      <c r="AD9" s="115"/>
      <c r="AE9" s="100">
        <f>AVERAGE(S9,U9,W9,Y9,AC9)</f>
        <v>366137.5</v>
      </c>
      <c r="AF9" s="118">
        <f>MIN(S9,W9,Y9,AC9)</f>
        <v>305750</v>
      </c>
    </row>
    <row r="10" spans="1:32" s="1" customFormat="1" ht="64.5" customHeight="1">
      <c r="A10" s="8">
        <v>3</v>
      </c>
      <c r="B10" s="223"/>
      <c r="C10" s="224"/>
      <c r="D10" s="9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11">
        <v>1000</v>
      </c>
      <c r="K10" s="12">
        <v>7078</v>
      </c>
      <c r="L10" s="12">
        <v>3700</v>
      </c>
      <c r="M10" s="12">
        <v>1753</v>
      </c>
      <c r="N10" s="12">
        <v>1159</v>
      </c>
      <c r="O10" s="12">
        <v>873</v>
      </c>
      <c r="P10" s="12">
        <v>733</v>
      </c>
      <c r="Q10" s="85">
        <v>665</v>
      </c>
      <c r="R10" s="117">
        <v>1753</v>
      </c>
      <c r="S10" s="90">
        <f t="shared" ref="S10:S76" si="4">+R10*J10</f>
        <v>1753000</v>
      </c>
      <c r="T10" s="110">
        <f>2234*S4</f>
        <v>0</v>
      </c>
      <c r="U10" s="111"/>
      <c r="V10" s="95">
        <v>1192</v>
      </c>
      <c r="W10" s="91">
        <f t="shared" si="0"/>
        <v>1192000</v>
      </c>
      <c r="X10" s="96">
        <v>1375</v>
      </c>
      <c r="Y10" s="96">
        <f t="shared" si="1"/>
        <v>1375000</v>
      </c>
      <c r="Z10" s="97">
        <v>1500</v>
      </c>
      <c r="AA10" s="97">
        <f t="shared" si="2"/>
        <v>1500000</v>
      </c>
      <c r="AB10" s="98">
        <v>957</v>
      </c>
      <c r="AC10" s="99">
        <f t="shared" si="3"/>
        <v>1110120</v>
      </c>
      <c r="AD10" s="115"/>
      <c r="AE10" s="100">
        <f>AVERAGE(S10,U10,W10,Y10,AA10,AC10)</f>
        <v>1386024</v>
      </c>
      <c r="AF10" s="118">
        <f>MIN(S10,W10,Y10,AA10,AC10)</f>
        <v>1110120</v>
      </c>
    </row>
    <row r="11" spans="1:32" s="1" customFormat="1" ht="12.75">
      <c r="A11" s="8">
        <v>4</v>
      </c>
      <c r="B11" s="223"/>
      <c r="C11" s="224"/>
      <c r="D11" s="9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1">
        <v>3</v>
      </c>
      <c r="K11" s="12">
        <v>25000</v>
      </c>
      <c r="L11" s="12"/>
      <c r="M11" s="12"/>
      <c r="N11" s="12"/>
      <c r="O11" s="12"/>
      <c r="P11" s="12"/>
      <c r="Q11" s="85"/>
      <c r="R11" s="117">
        <v>25000</v>
      </c>
      <c r="S11" s="90">
        <f t="shared" si="4"/>
        <v>75000</v>
      </c>
      <c r="T11" s="92">
        <f>62533*1.16</f>
        <v>72538.28</v>
      </c>
      <c r="U11" s="93">
        <f t="shared" ref="U11:U76" si="5">T11*J11</f>
        <v>217614.84</v>
      </c>
      <c r="V11" s="112">
        <v>0</v>
      </c>
      <c r="W11" s="110"/>
      <c r="X11" s="96">
        <v>36000</v>
      </c>
      <c r="Y11" s="96">
        <f t="shared" si="1"/>
        <v>108000</v>
      </c>
      <c r="Z11" s="97">
        <v>40000</v>
      </c>
      <c r="AA11" s="97">
        <f t="shared" si="2"/>
        <v>120000</v>
      </c>
      <c r="AB11" s="98">
        <v>128000</v>
      </c>
      <c r="AC11" s="99">
        <f t="shared" si="3"/>
        <v>445439.99999999994</v>
      </c>
      <c r="AD11" s="115"/>
      <c r="AE11" s="100">
        <f>AVERAGE(S11,U11,W11,Y11,AA11)</f>
        <v>130153.70999999999</v>
      </c>
      <c r="AF11" s="118">
        <f>MIN(S11,U11,W11,Y11,AA11)</f>
        <v>75000</v>
      </c>
    </row>
    <row r="12" spans="1:32" s="1" customFormat="1" ht="114.75">
      <c r="A12" s="8">
        <v>5</v>
      </c>
      <c r="B12" s="223"/>
      <c r="C12" s="224"/>
      <c r="D12" s="67" t="s">
        <v>38</v>
      </c>
      <c r="E12" s="71" t="s">
        <v>39</v>
      </c>
      <c r="F12" s="68"/>
      <c r="G12" s="68"/>
      <c r="H12" s="68"/>
      <c r="I12" s="68" t="s">
        <v>40</v>
      </c>
      <c r="J12" s="69">
        <v>2000</v>
      </c>
      <c r="K12" s="70"/>
      <c r="L12" s="70"/>
      <c r="M12" s="70"/>
      <c r="N12" s="70"/>
      <c r="O12" s="70"/>
      <c r="P12" s="70"/>
      <c r="Q12" s="86"/>
      <c r="R12" s="119">
        <v>0</v>
      </c>
      <c r="S12" s="110"/>
      <c r="T12" s="92">
        <v>816</v>
      </c>
      <c r="U12" s="93">
        <f t="shared" si="5"/>
        <v>1632000</v>
      </c>
      <c r="V12" s="112">
        <v>0</v>
      </c>
      <c r="W12" s="110"/>
      <c r="X12" s="96">
        <v>853</v>
      </c>
      <c r="Y12" s="96">
        <f t="shared" si="1"/>
        <v>1706000</v>
      </c>
      <c r="Z12" s="97">
        <v>1600</v>
      </c>
      <c r="AA12" s="97">
        <f t="shared" si="2"/>
        <v>3200000</v>
      </c>
      <c r="AB12" s="98">
        <v>847</v>
      </c>
      <c r="AC12" s="99">
        <f t="shared" si="3"/>
        <v>1965039.9999999998</v>
      </c>
      <c r="AD12" s="115"/>
      <c r="AE12" s="100">
        <f>AVERAGE(U12,Y12,AC12)</f>
        <v>1767680</v>
      </c>
      <c r="AF12" s="118">
        <f>MIN(S12,U12,Y12,AA12,AC12)</f>
        <v>1632000</v>
      </c>
    </row>
    <row r="13" spans="1:32" s="1" customFormat="1" ht="76.5">
      <c r="A13" s="8">
        <v>6</v>
      </c>
      <c r="B13" s="223"/>
      <c r="C13" s="224"/>
      <c r="D13" s="9" t="s">
        <v>41</v>
      </c>
      <c r="E13" s="10" t="s">
        <v>42</v>
      </c>
      <c r="F13" s="13" t="s">
        <v>43</v>
      </c>
      <c r="G13" s="13" t="s">
        <v>44</v>
      </c>
      <c r="H13" s="10"/>
      <c r="I13" s="13" t="s">
        <v>45</v>
      </c>
      <c r="J13" s="11">
        <v>250</v>
      </c>
      <c r="K13" s="12">
        <v>16742</v>
      </c>
      <c r="L13" s="12">
        <v>11700</v>
      </c>
      <c r="M13" s="12">
        <v>8900</v>
      </c>
      <c r="N13" s="12">
        <v>8350</v>
      </c>
      <c r="O13" s="12">
        <v>8100</v>
      </c>
      <c r="P13" s="12">
        <v>8000</v>
      </c>
      <c r="Q13" s="85">
        <v>7900</v>
      </c>
      <c r="R13" s="117">
        <v>11700</v>
      </c>
      <c r="S13" s="90">
        <f t="shared" si="4"/>
        <v>2925000</v>
      </c>
      <c r="T13" s="92">
        <f>12530*1.16</f>
        <v>14534.8</v>
      </c>
      <c r="U13" s="93">
        <f t="shared" si="5"/>
        <v>3633700</v>
      </c>
      <c r="V13" s="95">
        <v>11955</v>
      </c>
      <c r="W13" s="91">
        <f t="shared" si="0"/>
        <v>2988750</v>
      </c>
      <c r="X13" s="96">
        <v>7580</v>
      </c>
      <c r="Y13" s="96">
        <f t="shared" si="1"/>
        <v>1895000</v>
      </c>
      <c r="Z13" s="97">
        <v>10000</v>
      </c>
      <c r="AA13" s="97">
        <f t="shared" si="2"/>
        <v>2500000</v>
      </c>
      <c r="AB13" s="98">
        <v>7850</v>
      </c>
      <c r="AC13" s="99">
        <f t="shared" si="3"/>
        <v>2276500</v>
      </c>
      <c r="AD13" s="115"/>
      <c r="AE13" s="100">
        <f>AVERAGE(S13,U13,W13,Y13,AA13,AC13)</f>
        <v>2703158.3333333335</v>
      </c>
      <c r="AF13" s="118">
        <f t="shared" ref="AF13:AF55" si="6">MIN(S13,U13,W13,Y13,AA13,AC13)</f>
        <v>1895000</v>
      </c>
    </row>
    <row r="14" spans="1:32" s="1" customFormat="1" ht="51">
      <c r="A14" s="8">
        <v>7</v>
      </c>
      <c r="B14" s="223"/>
      <c r="C14" s="224"/>
      <c r="D14" s="9" t="s">
        <v>46</v>
      </c>
      <c r="E14" s="13" t="s">
        <v>47</v>
      </c>
      <c r="F14" s="10" t="s">
        <v>48</v>
      </c>
      <c r="G14" s="13" t="s">
        <v>49</v>
      </c>
      <c r="H14" s="10"/>
      <c r="I14" s="13" t="s">
        <v>50</v>
      </c>
      <c r="J14" s="11">
        <v>250</v>
      </c>
      <c r="K14" s="12">
        <v>11596</v>
      </c>
      <c r="L14" s="12">
        <v>6600</v>
      </c>
      <c r="M14" s="12">
        <v>3700</v>
      </c>
      <c r="N14" s="12">
        <v>2750</v>
      </c>
      <c r="O14" s="12">
        <v>2290</v>
      </c>
      <c r="P14" s="12">
        <v>2060</v>
      </c>
      <c r="Q14" s="85">
        <v>1960</v>
      </c>
      <c r="R14" s="117">
        <v>6600</v>
      </c>
      <c r="S14" s="90">
        <f t="shared" si="4"/>
        <v>1650000</v>
      </c>
      <c r="T14" s="92">
        <f>8778*1.16</f>
        <v>10182.48</v>
      </c>
      <c r="U14" s="93">
        <f t="shared" si="5"/>
        <v>2545620</v>
      </c>
      <c r="V14" s="112"/>
      <c r="W14" s="110"/>
      <c r="X14" s="96">
        <v>3816</v>
      </c>
      <c r="Y14" s="96">
        <f t="shared" si="1"/>
        <v>954000</v>
      </c>
      <c r="Z14" s="97">
        <v>6500</v>
      </c>
      <c r="AA14" s="97">
        <f t="shared" si="2"/>
        <v>1625000</v>
      </c>
      <c r="AB14" s="98">
        <v>4560</v>
      </c>
      <c r="AC14" s="99">
        <f t="shared" si="3"/>
        <v>1322400</v>
      </c>
      <c r="AD14" s="115"/>
      <c r="AE14" s="100">
        <f>AVERAGE(S14,U14,W14,Y14,AA14,AC14)</f>
        <v>1619404</v>
      </c>
      <c r="AF14" s="118">
        <f t="shared" si="6"/>
        <v>954000</v>
      </c>
    </row>
    <row r="15" spans="1:32" s="1" customFormat="1" ht="12.75">
      <c r="A15" s="8">
        <v>8</v>
      </c>
      <c r="B15" s="223"/>
      <c r="C15" s="224"/>
      <c r="D15" s="9" t="s">
        <v>51</v>
      </c>
      <c r="E15" s="13" t="s">
        <v>52</v>
      </c>
      <c r="F15" s="10" t="s">
        <v>53</v>
      </c>
      <c r="G15" s="13" t="s">
        <v>54</v>
      </c>
      <c r="H15" s="10" t="s">
        <v>55</v>
      </c>
      <c r="I15" s="13" t="s">
        <v>56</v>
      </c>
      <c r="J15" s="11">
        <v>5000</v>
      </c>
      <c r="K15" s="12">
        <v>2121</v>
      </c>
      <c r="L15" s="12">
        <v>1765</v>
      </c>
      <c r="M15" s="12">
        <v>943</v>
      </c>
      <c r="N15" s="12">
        <v>499</v>
      </c>
      <c r="O15" s="12">
        <v>293</v>
      </c>
      <c r="P15" s="12">
        <v>199</v>
      </c>
      <c r="Q15" s="85">
        <v>143</v>
      </c>
      <c r="R15" s="117">
        <v>199</v>
      </c>
      <c r="S15" s="90">
        <f t="shared" si="4"/>
        <v>995000</v>
      </c>
      <c r="T15" s="92">
        <f>435*1.16</f>
        <v>504.59999999999997</v>
      </c>
      <c r="U15" s="93">
        <f t="shared" si="5"/>
        <v>2523000</v>
      </c>
      <c r="V15" s="95">
        <v>192</v>
      </c>
      <c r="W15" s="91">
        <f t="shared" si="0"/>
        <v>960000</v>
      </c>
      <c r="X15" s="96">
        <v>118</v>
      </c>
      <c r="Y15" s="96">
        <f t="shared" si="1"/>
        <v>590000</v>
      </c>
      <c r="Z15" s="97">
        <v>260</v>
      </c>
      <c r="AA15" s="97">
        <f t="shared" si="2"/>
        <v>1300000</v>
      </c>
      <c r="AB15" s="98">
        <v>195</v>
      </c>
      <c r="AC15" s="99">
        <f t="shared" si="3"/>
        <v>1131000</v>
      </c>
      <c r="AD15" s="115"/>
      <c r="AE15" s="100">
        <f>AVERAGE(S15,U15,W15,Y15,AA15,AC15)</f>
        <v>1249833.3333333333</v>
      </c>
      <c r="AF15" s="118">
        <f t="shared" si="6"/>
        <v>590000</v>
      </c>
    </row>
    <row r="16" spans="1:32" s="1" customFormat="1" ht="38.25">
      <c r="A16" s="8">
        <v>9</v>
      </c>
      <c r="B16" s="223"/>
      <c r="C16" s="224"/>
      <c r="D16" s="9" t="s">
        <v>57</v>
      </c>
      <c r="E16" s="13" t="s">
        <v>58</v>
      </c>
      <c r="F16" s="13" t="s">
        <v>59</v>
      </c>
      <c r="G16" s="13" t="s">
        <v>60</v>
      </c>
      <c r="H16" s="10" t="s">
        <v>30</v>
      </c>
      <c r="I16" s="13" t="s">
        <v>61</v>
      </c>
      <c r="J16" s="11">
        <v>1000</v>
      </c>
      <c r="K16" s="12">
        <v>8131</v>
      </c>
      <c r="L16" s="12">
        <v>5586</v>
      </c>
      <c r="M16" s="12">
        <v>4168</v>
      </c>
      <c r="N16" s="12">
        <v>3520</v>
      </c>
      <c r="O16" s="12">
        <v>3245</v>
      </c>
      <c r="P16" s="12">
        <v>3130</v>
      </c>
      <c r="Q16" s="85">
        <v>3082</v>
      </c>
      <c r="R16" s="117">
        <v>4168</v>
      </c>
      <c r="S16" s="90">
        <f t="shared" si="4"/>
        <v>4168000</v>
      </c>
      <c r="T16" s="92">
        <f>3915*1.16</f>
        <v>4541.3999999999996</v>
      </c>
      <c r="U16" s="93">
        <f t="shared" si="5"/>
        <v>4541400</v>
      </c>
      <c r="V16" s="112">
        <v>0</v>
      </c>
      <c r="W16" s="110"/>
      <c r="X16" s="96">
        <v>3445</v>
      </c>
      <c r="Y16" s="96">
        <f t="shared" si="1"/>
        <v>3445000</v>
      </c>
      <c r="Z16" s="97">
        <v>3000</v>
      </c>
      <c r="AA16" s="97">
        <f t="shared" si="2"/>
        <v>3000000</v>
      </c>
      <c r="AB16" s="98">
        <v>2356</v>
      </c>
      <c r="AC16" s="99">
        <f t="shared" si="3"/>
        <v>2732960</v>
      </c>
      <c r="AD16" s="115"/>
      <c r="AE16" s="100">
        <f>AVERAGE(S16,U16,W16,Y16,AA16)</f>
        <v>3788600</v>
      </c>
      <c r="AF16" s="118">
        <f t="shared" si="6"/>
        <v>2732960</v>
      </c>
    </row>
    <row r="17" spans="1:34" s="1" customFormat="1" ht="25.5">
      <c r="A17" s="8">
        <v>10</v>
      </c>
      <c r="B17" s="223"/>
      <c r="C17" s="224"/>
      <c r="D17" s="9" t="s">
        <v>62</v>
      </c>
      <c r="E17" s="10" t="s">
        <v>63</v>
      </c>
      <c r="F17" s="10" t="s">
        <v>64</v>
      </c>
      <c r="G17" s="10" t="s">
        <v>65</v>
      </c>
      <c r="H17" s="10" t="s">
        <v>66</v>
      </c>
      <c r="I17" s="10" t="s">
        <v>67</v>
      </c>
      <c r="J17" s="11">
        <v>10000</v>
      </c>
      <c r="K17" s="12">
        <v>5500</v>
      </c>
      <c r="L17" s="12">
        <v>2985</v>
      </c>
      <c r="M17" s="12">
        <v>1405</v>
      </c>
      <c r="N17" s="12">
        <v>714</v>
      </c>
      <c r="O17" s="12">
        <v>369</v>
      </c>
      <c r="P17" s="12">
        <v>211</v>
      </c>
      <c r="Q17" s="85">
        <v>146</v>
      </c>
      <c r="R17" s="117">
        <v>146</v>
      </c>
      <c r="S17" s="90">
        <f t="shared" si="4"/>
        <v>1460000</v>
      </c>
      <c r="T17" s="92">
        <f>187*1.16</f>
        <v>216.92</v>
      </c>
      <c r="U17" s="93">
        <f t="shared" si="5"/>
        <v>2169200</v>
      </c>
      <c r="V17" s="95">
        <v>120</v>
      </c>
      <c r="W17" s="91">
        <f t="shared" si="0"/>
        <v>1200000</v>
      </c>
      <c r="X17" s="96">
        <v>99</v>
      </c>
      <c r="Y17" s="96">
        <f t="shared" si="1"/>
        <v>990000</v>
      </c>
      <c r="Z17" s="97">
        <v>180</v>
      </c>
      <c r="AA17" s="97">
        <f t="shared" si="2"/>
        <v>1800000</v>
      </c>
      <c r="AB17" s="98">
        <v>128</v>
      </c>
      <c r="AC17" s="99">
        <f t="shared" si="3"/>
        <v>1484800</v>
      </c>
      <c r="AD17" s="115"/>
      <c r="AE17" s="100">
        <f t="shared" ref="AE17:AE26" si="7">AVERAGE(S17,U17,W17,Y17,AA17,AC17)</f>
        <v>1517333.3333333333</v>
      </c>
      <c r="AF17" s="118">
        <f t="shared" si="6"/>
        <v>990000</v>
      </c>
    </row>
    <row r="18" spans="1:34" s="1" customFormat="1" ht="12.75">
      <c r="A18" s="8">
        <v>11</v>
      </c>
      <c r="B18" s="223"/>
      <c r="C18" s="224"/>
      <c r="D18" s="9" t="s">
        <v>68</v>
      </c>
      <c r="E18" s="10" t="s">
        <v>63</v>
      </c>
      <c r="F18" s="10" t="s">
        <v>64</v>
      </c>
      <c r="G18" s="10" t="s">
        <v>65</v>
      </c>
      <c r="H18" s="10" t="s">
        <v>66</v>
      </c>
      <c r="I18" s="10" t="s">
        <v>67</v>
      </c>
      <c r="J18" s="11">
        <v>10000</v>
      </c>
      <c r="K18" s="12">
        <v>5500</v>
      </c>
      <c r="L18" s="12">
        <v>2985</v>
      </c>
      <c r="M18" s="12">
        <v>1405</v>
      </c>
      <c r="N18" s="12">
        <v>714</v>
      </c>
      <c r="O18" s="12">
        <v>369</v>
      </c>
      <c r="P18" s="12">
        <v>211</v>
      </c>
      <c r="Q18" s="85">
        <v>146</v>
      </c>
      <c r="R18" s="117">
        <v>146</v>
      </c>
      <c r="S18" s="90">
        <f t="shared" si="4"/>
        <v>1460000</v>
      </c>
      <c r="T18" s="92">
        <f>187*1.16</f>
        <v>216.92</v>
      </c>
      <c r="U18" s="93">
        <f t="shared" si="5"/>
        <v>2169200</v>
      </c>
      <c r="V18" s="95">
        <v>120</v>
      </c>
      <c r="W18" s="91">
        <f t="shared" si="0"/>
        <v>1200000</v>
      </c>
      <c r="X18" s="96">
        <v>99</v>
      </c>
      <c r="Y18" s="96">
        <f t="shared" si="1"/>
        <v>990000</v>
      </c>
      <c r="Z18" s="97">
        <v>180</v>
      </c>
      <c r="AA18" s="97">
        <f t="shared" si="2"/>
        <v>1800000</v>
      </c>
      <c r="AB18" s="98">
        <v>128</v>
      </c>
      <c r="AC18" s="99">
        <f t="shared" si="3"/>
        <v>1484800</v>
      </c>
      <c r="AD18" s="115"/>
      <c r="AE18" s="100">
        <f t="shared" si="7"/>
        <v>1517333.3333333333</v>
      </c>
      <c r="AF18" s="118">
        <f t="shared" si="6"/>
        <v>990000</v>
      </c>
    </row>
    <row r="19" spans="1:34" s="1" customFormat="1" ht="15" customHeight="1">
      <c r="A19" s="8">
        <v>12</v>
      </c>
      <c r="B19" s="223"/>
      <c r="C19" s="224"/>
      <c r="D19" s="9" t="s">
        <v>69</v>
      </c>
      <c r="E19" s="10" t="s">
        <v>63</v>
      </c>
      <c r="F19" s="10" t="s">
        <v>64</v>
      </c>
      <c r="G19" s="10" t="s">
        <v>65</v>
      </c>
      <c r="H19" s="10" t="s">
        <v>66</v>
      </c>
      <c r="I19" s="10" t="s">
        <v>67</v>
      </c>
      <c r="J19" s="11">
        <v>3750</v>
      </c>
      <c r="K19" s="12">
        <v>5500</v>
      </c>
      <c r="L19" s="12">
        <v>2985</v>
      </c>
      <c r="M19" s="12">
        <v>1405</v>
      </c>
      <c r="N19" s="12">
        <v>714</v>
      </c>
      <c r="O19" s="12">
        <v>369</v>
      </c>
      <c r="P19" s="12">
        <v>211</v>
      </c>
      <c r="Q19" s="85">
        <v>146</v>
      </c>
      <c r="R19" s="117">
        <v>369</v>
      </c>
      <c r="S19" s="90">
        <f t="shared" si="4"/>
        <v>1383750</v>
      </c>
      <c r="T19" s="92">
        <f>262*1.16</f>
        <v>303.91999999999996</v>
      </c>
      <c r="U19" s="93">
        <f t="shared" si="5"/>
        <v>1139699.9999999998</v>
      </c>
      <c r="V19" s="95">
        <v>255</v>
      </c>
      <c r="W19" s="91">
        <f t="shared" si="0"/>
        <v>956250</v>
      </c>
      <c r="X19" s="96">
        <v>184</v>
      </c>
      <c r="Y19" s="96">
        <f t="shared" si="1"/>
        <v>690000</v>
      </c>
      <c r="Z19" s="97">
        <v>300</v>
      </c>
      <c r="AA19" s="97">
        <f t="shared" si="2"/>
        <v>1125000</v>
      </c>
      <c r="AB19" s="98">
        <v>165</v>
      </c>
      <c r="AC19" s="99">
        <f t="shared" si="3"/>
        <v>717750</v>
      </c>
      <c r="AD19" s="115"/>
      <c r="AE19" s="100">
        <f t="shared" si="7"/>
        <v>1002075</v>
      </c>
      <c r="AF19" s="118">
        <f t="shared" si="6"/>
        <v>690000</v>
      </c>
    </row>
    <row r="20" spans="1:34" s="1" customFormat="1" ht="15" customHeight="1">
      <c r="A20" s="8">
        <v>13</v>
      </c>
      <c r="B20" s="223"/>
      <c r="C20" s="224"/>
      <c r="D20" s="9" t="s">
        <v>70</v>
      </c>
      <c r="E20" s="10" t="s">
        <v>71</v>
      </c>
      <c r="F20" s="13" t="s">
        <v>72</v>
      </c>
      <c r="G20" s="13" t="s">
        <v>54</v>
      </c>
      <c r="H20" s="13" t="s">
        <v>66</v>
      </c>
      <c r="I20" s="13" t="s">
        <v>73</v>
      </c>
      <c r="J20" s="11">
        <v>3750</v>
      </c>
      <c r="K20" s="12">
        <v>4580</v>
      </c>
      <c r="L20" s="12">
        <v>2375</v>
      </c>
      <c r="M20" s="12">
        <v>1050</v>
      </c>
      <c r="N20" s="12">
        <v>614</v>
      </c>
      <c r="O20" s="12">
        <v>399</v>
      </c>
      <c r="P20" s="12">
        <v>293</v>
      </c>
      <c r="Q20" s="85">
        <v>246</v>
      </c>
      <c r="R20" s="117">
        <v>399</v>
      </c>
      <c r="S20" s="90">
        <f t="shared" si="4"/>
        <v>1496250</v>
      </c>
      <c r="T20" s="92">
        <f>408*1.16</f>
        <v>473.28</v>
      </c>
      <c r="U20" s="93">
        <f t="shared" si="5"/>
        <v>1774800</v>
      </c>
      <c r="V20" s="112">
        <v>0</v>
      </c>
      <c r="W20" s="110"/>
      <c r="X20" s="96">
        <v>235</v>
      </c>
      <c r="Y20" s="96">
        <f t="shared" si="1"/>
        <v>881250</v>
      </c>
      <c r="Z20" s="97">
        <v>350</v>
      </c>
      <c r="AA20" s="97">
        <f t="shared" si="2"/>
        <v>1312500</v>
      </c>
      <c r="AB20" s="98">
        <v>313</v>
      </c>
      <c r="AC20" s="99">
        <f t="shared" si="3"/>
        <v>1361550</v>
      </c>
      <c r="AD20" s="115"/>
      <c r="AE20" s="100">
        <f t="shared" si="7"/>
        <v>1365270</v>
      </c>
      <c r="AF20" s="118">
        <f t="shared" si="6"/>
        <v>881250</v>
      </c>
    </row>
    <row r="21" spans="1:34" s="1" customFormat="1" ht="15" customHeight="1">
      <c r="A21" s="8">
        <v>14</v>
      </c>
      <c r="B21" s="223"/>
      <c r="C21" s="224"/>
      <c r="D21" s="9" t="s">
        <v>74</v>
      </c>
      <c r="E21" s="10" t="s">
        <v>75</v>
      </c>
      <c r="F21" s="10" t="s">
        <v>53</v>
      </c>
      <c r="G21" s="10" t="s">
        <v>29</v>
      </c>
      <c r="H21" s="10" t="s">
        <v>55</v>
      </c>
      <c r="I21" s="10" t="s">
        <v>76</v>
      </c>
      <c r="J21" s="11">
        <v>3750</v>
      </c>
      <c r="K21" s="12">
        <v>2100</v>
      </c>
      <c r="L21" s="12">
        <v>1759</v>
      </c>
      <c r="M21" s="12">
        <v>955</v>
      </c>
      <c r="N21" s="12">
        <v>510</v>
      </c>
      <c r="O21" s="12">
        <v>300</v>
      </c>
      <c r="P21" s="12">
        <v>198</v>
      </c>
      <c r="Q21" s="85">
        <v>150</v>
      </c>
      <c r="R21" s="117">
        <v>300</v>
      </c>
      <c r="S21" s="90">
        <f t="shared" si="4"/>
        <v>1125000</v>
      </c>
      <c r="T21" s="92">
        <f>472*1.16</f>
        <v>547.52</v>
      </c>
      <c r="U21" s="93">
        <f t="shared" si="5"/>
        <v>2053200</v>
      </c>
      <c r="V21" s="95">
        <v>408</v>
      </c>
      <c r="W21" s="91">
        <f t="shared" si="0"/>
        <v>1530000</v>
      </c>
      <c r="X21" s="96">
        <v>164</v>
      </c>
      <c r="Y21" s="96">
        <f t="shared" si="1"/>
        <v>615000</v>
      </c>
      <c r="Z21" s="97">
        <v>370</v>
      </c>
      <c r="AA21" s="97">
        <f t="shared" si="2"/>
        <v>1387500</v>
      </c>
      <c r="AB21" s="98">
        <v>198</v>
      </c>
      <c r="AC21" s="99">
        <f t="shared" si="3"/>
        <v>861299.99999999988</v>
      </c>
      <c r="AD21" s="115"/>
      <c r="AE21" s="100">
        <f t="shared" si="7"/>
        <v>1262000</v>
      </c>
      <c r="AF21" s="118">
        <f t="shared" si="6"/>
        <v>615000</v>
      </c>
    </row>
    <row r="22" spans="1:34" s="1" customFormat="1" ht="25.5">
      <c r="A22" s="8">
        <v>15</v>
      </c>
      <c r="B22" s="223"/>
      <c r="C22" s="224"/>
      <c r="D22" s="67" t="s">
        <v>77</v>
      </c>
      <c r="E22" s="68"/>
      <c r="F22" s="68"/>
      <c r="G22" s="68"/>
      <c r="H22" s="68"/>
      <c r="I22" s="68"/>
      <c r="J22" s="69">
        <v>3750</v>
      </c>
      <c r="K22" s="70"/>
      <c r="L22" s="70"/>
      <c r="M22" s="70"/>
      <c r="N22" s="70"/>
      <c r="O22" s="70"/>
      <c r="P22" s="70"/>
      <c r="Q22" s="86"/>
      <c r="R22" s="119">
        <v>0</v>
      </c>
      <c r="S22" s="110"/>
      <c r="T22" s="92">
        <f>776*1.16</f>
        <v>900.16</v>
      </c>
      <c r="U22" s="93">
        <f t="shared" si="5"/>
        <v>3375600</v>
      </c>
      <c r="V22" s="112"/>
      <c r="W22" s="110"/>
      <c r="X22" s="110"/>
      <c r="Y22" s="110"/>
      <c r="Z22" s="97">
        <v>200</v>
      </c>
      <c r="AA22" s="97">
        <f t="shared" si="2"/>
        <v>750000</v>
      </c>
      <c r="AB22" s="98"/>
      <c r="AC22" s="99"/>
      <c r="AD22" s="115"/>
      <c r="AE22" s="100">
        <f t="shared" si="7"/>
        <v>2062800</v>
      </c>
      <c r="AF22" s="118">
        <f t="shared" si="6"/>
        <v>750000</v>
      </c>
    </row>
    <row r="23" spans="1:34" s="1" customFormat="1" ht="15" customHeight="1">
      <c r="A23" s="8">
        <v>16</v>
      </c>
      <c r="B23" s="223"/>
      <c r="C23" s="224"/>
      <c r="D23" s="67" t="s">
        <v>78</v>
      </c>
      <c r="E23" s="68" t="s">
        <v>63</v>
      </c>
      <c r="F23" s="68" t="s">
        <v>64</v>
      </c>
      <c r="G23" s="68" t="s">
        <v>65</v>
      </c>
      <c r="H23" s="68" t="s">
        <v>66</v>
      </c>
      <c r="I23" s="68" t="s">
        <v>67</v>
      </c>
      <c r="J23" s="69">
        <v>3750</v>
      </c>
      <c r="K23" s="70">
        <v>5500</v>
      </c>
      <c r="L23" s="70">
        <v>2985</v>
      </c>
      <c r="M23" s="70">
        <v>1405</v>
      </c>
      <c r="N23" s="70">
        <v>714</v>
      </c>
      <c r="O23" s="70">
        <v>369</v>
      </c>
      <c r="P23" s="70">
        <v>211</v>
      </c>
      <c r="Q23" s="86">
        <v>146</v>
      </c>
      <c r="R23" s="117">
        <v>584</v>
      </c>
      <c r="S23" s="90">
        <f t="shared" si="4"/>
        <v>2190000</v>
      </c>
      <c r="T23" s="92">
        <f>262*1.16</f>
        <v>303.91999999999996</v>
      </c>
      <c r="U23" s="93">
        <f t="shared" si="5"/>
        <v>1139699.9999999998</v>
      </c>
      <c r="V23" s="95">
        <v>255</v>
      </c>
      <c r="W23" s="91">
        <f t="shared" si="0"/>
        <v>956250</v>
      </c>
      <c r="X23" s="96">
        <v>164</v>
      </c>
      <c r="Y23" s="96">
        <f t="shared" si="1"/>
        <v>615000</v>
      </c>
      <c r="Z23" s="97">
        <v>350</v>
      </c>
      <c r="AA23" s="97">
        <f t="shared" si="2"/>
        <v>1312500</v>
      </c>
      <c r="AB23" s="98">
        <v>165</v>
      </c>
      <c r="AC23" s="99">
        <f t="shared" si="3"/>
        <v>717750</v>
      </c>
      <c r="AD23" s="115"/>
      <c r="AE23" s="100">
        <f t="shared" si="7"/>
        <v>1155200</v>
      </c>
      <c r="AF23" s="118">
        <f t="shared" si="6"/>
        <v>615000</v>
      </c>
    </row>
    <row r="24" spans="1:34" s="1" customFormat="1" ht="15" customHeight="1">
      <c r="A24" s="8">
        <v>17</v>
      </c>
      <c r="B24" s="223"/>
      <c r="C24" s="224"/>
      <c r="D24" s="67" t="s">
        <v>79</v>
      </c>
      <c r="E24" s="68" t="s">
        <v>71</v>
      </c>
      <c r="F24" s="71" t="s">
        <v>72</v>
      </c>
      <c r="G24" s="71" t="s">
        <v>54</v>
      </c>
      <c r="H24" s="71" t="s">
        <v>66</v>
      </c>
      <c r="I24" s="71" t="s">
        <v>73</v>
      </c>
      <c r="J24" s="69">
        <v>3750</v>
      </c>
      <c r="K24" s="70">
        <v>4580</v>
      </c>
      <c r="L24" s="70">
        <v>2375</v>
      </c>
      <c r="M24" s="70">
        <v>1050</v>
      </c>
      <c r="N24" s="70">
        <v>614</v>
      </c>
      <c r="O24" s="70">
        <v>399</v>
      </c>
      <c r="P24" s="70">
        <v>293</v>
      </c>
      <c r="Q24" s="86">
        <v>246</v>
      </c>
      <c r="R24" s="117">
        <v>984</v>
      </c>
      <c r="S24" s="90">
        <f t="shared" si="4"/>
        <v>3690000</v>
      </c>
      <c r="T24" s="92">
        <f>408*1.16</f>
        <v>473.28</v>
      </c>
      <c r="U24" s="93">
        <f t="shared" si="5"/>
        <v>1774800</v>
      </c>
      <c r="V24" s="95">
        <v>383</v>
      </c>
      <c r="W24" s="91">
        <f t="shared" si="0"/>
        <v>1436250</v>
      </c>
      <c r="X24" s="96">
        <v>235</v>
      </c>
      <c r="Y24" s="96">
        <f t="shared" si="1"/>
        <v>881250</v>
      </c>
      <c r="Z24" s="97">
        <v>350</v>
      </c>
      <c r="AA24" s="97">
        <f t="shared" si="2"/>
        <v>1312500</v>
      </c>
      <c r="AB24" s="98">
        <v>313</v>
      </c>
      <c r="AC24" s="99">
        <f t="shared" si="3"/>
        <v>1361550</v>
      </c>
      <c r="AD24" s="115"/>
      <c r="AE24" s="100">
        <f t="shared" si="7"/>
        <v>1742725</v>
      </c>
      <c r="AF24" s="118">
        <f t="shared" si="6"/>
        <v>881250</v>
      </c>
    </row>
    <row r="25" spans="1:34" s="1" customFormat="1" ht="15" customHeight="1">
      <c r="A25" s="8">
        <v>18</v>
      </c>
      <c r="B25" s="223"/>
      <c r="C25" s="224"/>
      <c r="D25" s="67" t="s">
        <v>80</v>
      </c>
      <c r="E25" s="68" t="s">
        <v>75</v>
      </c>
      <c r="F25" s="68" t="s">
        <v>53</v>
      </c>
      <c r="G25" s="68" t="s">
        <v>29</v>
      </c>
      <c r="H25" s="68" t="s">
        <v>55</v>
      </c>
      <c r="I25" s="68" t="s">
        <v>76</v>
      </c>
      <c r="J25" s="69">
        <v>3750</v>
      </c>
      <c r="K25" s="70">
        <v>2100</v>
      </c>
      <c r="L25" s="70">
        <v>1759</v>
      </c>
      <c r="M25" s="70">
        <v>955</v>
      </c>
      <c r="N25" s="70">
        <v>510</v>
      </c>
      <c r="O25" s="70">
        <v>300</v>
      </c>
      <c r="P25" s="70">
        <v>198</v>
      </c>
      <c r="Q25" s="86">
        <v>150</v>
      </c>
      <c r="R25" s="117">
        <v>600</v>
      </c>
      <c r="S25" s="90">
        <f t="shared" si="4"/>
        <v>2250000</v>
      </c>
      <c r="T25" s="92">
        <f>472*1.16</f>
        <v>547.52</v>
      </c>
      <c r="U25" s="93">
        <f t="shared" si="5"/>
        <v>2053200</v>
      </c>
      <c r="V25" s="95">
        <v>408</v>
      </c>
      <c r="W25" s="91">
        <f t="shared" si="0"/>
        <v>1530000</v>
      </c>
      <c r="X25" s="96">
        <v>164</v>
      </c>
      <c r="Y25" s="96">
        <f t="shared" si="1"/>
        <v>615000</v>
      </c>
      <c r="Z25" s="97">
        <v>370</v>
      </c>
      <c r="AA25" s="97">
        <f t="shared" si="2"/>
        <v>1387500</v>
      </c>
      <c r="AB25" s="98">
        <v>198</v>
      </c>
      <c r="AC25" s="99">
        <f t="shared" si="3"/>
        <v>861299.99999999988</v>
      </c>
      <c r="AD25" s="115"/>
      <c r="AE25" s="100">
        <f t="shared" si="7"/>
        <v>1449500</v>
      </c>
      <c r="AF25" s="118">
        <f t="shared" si="6"/>
        <v>615000</v>
      </c>
    </row>
    <row r="26" spans="1:34" s="1" customFormat="1" ht="25.5">
      <c r="A26" s="8">
        <v>19</v>
      </c>
      <c r="B26" s="223"/>
      <c r="C26" s="224"/>
      <c r="D26" s="67" t="s">
        <v>81</v>
      </c>
      <c r="E26" s="68"/>
      <c r="F26" s="68"/>
      <c r="G26" s="68"/>
      <c r="H26" s="68"/>
      <c r="I26" s="68"/>
      <c r="J26" s="69">
        <v>3750</v>
      </c>
      <c r="K26" s="70"/>
      <c r="L26" s="70"/>
      <c r="M26" s="70"/>
      <c r="N26" s="70"/>
      <c r="O26" s="70"/>
      <c r="P26" s="70"/>
      <c r="Q26" s="86"/>
      <c r="R26" s="119">
        <v>0</v>
      </c>
      <c r="S26" s="110"/>
      <c r="T26" s="92">
        <f>776*1.16</f>
        <v>900.16</v>
      </c>
      <c r="U26" s="93">
        <f t="shared" si="5"/>
        <v>3375600</v>
      </c>
      <c r="V26" s="112">
        <v>0</v>
      </c>
      <c r="W26" s="110"/>
      <c r="X26" s="110"/>
      <c r="Y26" s="110"/>
      <c r="Z26" s="97">
        <v>200</v>
      </c>
      <c r="AA26" s="97">
        <f t="shared" si="2"/>
        <v>750000</v>
      </c>
      <c r="AB26" s="110">
        <v>0</v>
      </c>
      <c r="AC26" s="113"/>
      <c r="AD26" s="115"/>
      <c r="AE26" s="100">
        <f t="shared" si="7"/>
        <v>2062800</v>
      </c>
      <c r="AF26" s="118">
        <f t="shared" si="6"/>
        <v>750000</v>
      </c>
    </row>
    <row r="27" spans="1:34" s="1" customFormat="1" ht="15" customHeight="1">
      <c r="A27" s="8">
        <v>20</v>
      </c>
      <c r="B27" s="223"/>
      <c r="C27" s="224"/>
      <c r="D27" s="67" t="s">
        <v>82</v>
      </c>
      <c r="E27" s="68" t="s">
        <v>63</v>
      </c>
      <c r="F27" s="68" t="s">
        <v>53</v>
      </c>
      <c r="G27" s="68" t="s">
        <v>65</v>
      </c>
      <c r="H27" s="68" t="s">
        <v>66</v>
      </c>
      <c r="I27" s="68" t="s">
        <v>67</v>
      </c>
      <c r="J27" s="69">
        <v>15000</v>
      </c>
      <c r="K27" s="70">
        <v>5500</v>
      </c>
      <c r="L27" s="70">
        <v>2985</v>
      </c>
      <c r="M27" s="70">
        <v>1405</v>
      </c>
      <c r="N27" s="70">
        <v>714</v>
      </c>
      <c r="O27" s="70">
        <v>369</v>
      </c>
      <c r="P27" s="70">
        <v>211</v>
      </c>
      <c r="Q27" s="86">
        <v>146</v>
      </c>
      <c r="R27" s="117">
        <v>18</v>
      </c>
      <c r="S27" s="90">
        <f t="shared" si="4"/>
        <v>270000</v>
      </c>
      <c r="T27" s="92">
        <f>291*1.16</f>
        <v>337.56</v>
      </c>
      <c r="U27" s="94">
        <f t="shared" si="5"/>
        <v>5063400</v>
      </c>
      <c r="V27" s="95">
        <v>120</v>
      </c>
      <c r="W27" s="91">
        <f t="shared" si="0"/>
        <v>1800000</v>
      </c>
      <c r="X27" s="96">
        <v>99</v>
      </c>
      <c r="Y27" s="96">
        <f t="shared" si="1"/>
        <v>1485000</v>
      </c>
      <c r="Z27" s="97">
        <v>180</v>
      </c>
      <c r="AA27" s="97">
        <f t="shared" si="2"/>
        <v>2700000</v>
      </c>
      <c r="AB27" s="98">
        <v>109</v>
      </c>
      <c r="AC27" s="99">
        <f t="shared" si="3"/>
        <v>1896599.9999999998</v>
      </c>
      <c r="AD27" s="115"/>
      <c r="AE27" s="100">
        <f>AVERAGE(S27,W27,Y27,AA27,AC27)</f>
        <v>1630320</v>
      </c>
      <c r="AF27" s="118">
        <f t="shared" si="6"/>
        <v>270000</v>
      </c>
    </row>
    <row r="28" spans="1:34" s="1" customFormat="1" ht="15" customHeight="1">
      <c r="A28" s="8">
        <v>21</v>
      </c>
      <c r="B28" s="223"/>
      <c r="C28" s="224"/>
      <c r="D28" s="67" t="s">
        <v>83</v>
      </c>
      <c r="E28" s="68" t="s">
        <v>71</v>
      </c>
      <c r="F28" s="71" t="s">
        <v>72</v>
      </c>
      <c r="G28" s="71" t="s">
        <v>54</v>
      </c>
      <c r="H28" s="71" t="s">
        <v>66</v>
      </c>
      <c r="I28" s="71" t="s">
        <v>73</v>
      </c>
      <c r="J28" s="69">
        <v>15000</v>
      </c>
      <c r="K28" s="70">
        <v>4580</v>
      </c>
      <c r="L28" s="70">
        <v>2375</v>
      </c>
      <c r="M28" s="70">
        <v>1050</v>
      </c>
      <c r="N28" s="70">
        <v>614</v>
      </c>
      <c r="O28" s="70">
        <v>399</v>
      </c>
      <c r="P28" s="70">
        <v>293</v>
      </c>
      <c r="Q28" s="86">
        <v>246</v>
      </c>
      <c r="R28" s="117">
        <v>8</v>
      </c>
      <c r="S28" s="90">
        <f t="shared" si="4"/>
        <v>120000</v>
      </c>
      <c r="T28" s="92">
        <f>525*1.16</f>
        <v>609</v>
      </c>
      <c r="U28" s="94">
        <f t="shared" si="5"/>
        <v>9135000</v>
      </c>
      <c r="V28" s="95">
        <v>269</v>
      </c>
      <c r="W28" s="91">
        <f t="shared" si="0"/>
        <v>4035000</v>
      </c>
      <c r="X28" s="96">
        <v>186</v>
      </c>
      <c r="Y28" s="96">
        <f t="shared" si="1"/>
        <v>2790000</v>
      </c>
      <c r="Z28" s="97">
        <v>220</v>
      </c>
      <c r="AA28" s="97">
        <f t="shared" si="2"/>
        <v>3300000</v>
      </c>
      <c r="AB28" s="98">
        <v>217</v>
      </c>
      <c r="AC28" s="99">
        <f t="shared" si="3"/>
        <v>3775799.9999999995</v>
      </c>
      <c r="AD28" s="115"/>
      <c r="AE28" s="100">
        <f>AVERAGE(W28,Y28,AA28,AC28)</f>
        <v>3475200</v>
      </c>
      <c r="AF28" s="118">
        <f t="shared" si="6"/>
        <v>120000</v>
      </c>
    </row>
    <row r="29" spans="1:34" s="1" customFormat="1" ht="15.75" customHeight="1">
      <c r="A29" s="8">
        <v>22</v>
      </c>
      <c r="B29" s="223"/>
      <c r="C29" s="224"/>
      <c r="D29" s="67" t="s">
        <v>84</v>
      </c>
      <c r="E29" s="68" t="s">
        <v>75</v>
      </c>
      <c r="F29" s="68" t="s">
        <v>53</v>
      </c>
      <c r="G29" s="68" t="s">
        <v>29</v>
      </c>
      <c r="H29" s="68" t="s">
        <v>55</v>
      </c>
      <c r="I29" s="68" t="s">
        <v>76</v>
      </c>
      <c r="J29" s="69">
        <v>15000</v>
      </c>
      <c r="K29" s="70">
        <v>2100</v>
      </c>
      <c r="L29" s="70">
        <v>1759</v>
      </c>
      <c r="M29" s="70">
        <v>955</v>
      </c>
      <c r="N29" s="70">
        <v>510</v>
      </c>
      <c r="O29" s="70">
        <v>300</v>
      </c>
      <c r="P29" s="70">
        <v>198</v>
      </c>
      <c r="Q29" s="86">
        <v>150</v>
      </c>
      <c r="R29" s="117">
        <v>46</v>
      </c>
      <c r="S29" s="90">
        <f t="shared" si="4"/>
        <v>690000</v>
      </c>
      <c r="T29" s="92">
        <f>459*1.16</f>
        <v>532.43999999999994</v>
      </c>
      <c r="U29" s="94">
        <f t="shared" si="5"/>
        <v>7986599.9999999991</v>
      </c>
      <c r="V29" s="95">
        <v>283</v>
      </c>
      <c r="W29" s="91">
        <f t="shared" si="0"/>
        <v>4245000</v>
      </c>
      <c r="X29" s="96">
        <v>106</v>
      </c>
      <c r="Y29" s="96">
        <f t="shared" si="1"/>
        <v>1590000</v>
      </c>
      <c r="Z29" s="97">
        <v>240</v>
      </c>
      <c r="AA29" s="97">
        <f t="shared" si="2"/>
        <v>3600000</v>
      </c>
      <c r="AB29" s="98">
        <v>156</v>
      </c>
      <c r="AC29" s="99">
        <f t="shared" si="3"/>
        <v>2714400</v>
      </c>
      <c r="AD29" s="115"/>
      <c r="AE29" s="100">
        <f>AVERAGE(W29,Y29,AA29,AC29)</f>
        <v>3037350</v>
      </c>
      <c r="AF29" s="118">
        <f t="shared" si="6"/>
        <v>690000</v>
      </c>
    </row>
    <row r="30" spans="1:34" s="1" customFormat="1" ht="15.75" customHeight="1" thickBot="1">
      <c r="A30" s="172">
        <v>23</v>
      </c>
      <c r="B30" s="225"/>
      <c r="C30" s="226"/>
      <c r="D30" s="72" t="s">
        <v>85</v>
      </c>
      <c r="E30" s="73"/>
      <c r="F30" s="73"/>
      <c r="G30" s="73"/>
      <c r="H30" s="73"/>
      <c r="I30" s="73"/>
      <c r="J30" s="74">
        <v>15000</v>
      </c>
      <c r="K30" s="173"/>
      <c r="L30" s="173"/>
      <c r="M30" s="173"/>
      <c r="N30" s="173"/>
      <c r="O30" s="173"/>
      <c r="P30" s="173"/>
      <c r="Q30" s="174"/>
      <c r="R30" s="175">
        <v>0</v>
      </c>
      <c r="S30" s="176"/>
      <c r="T30" s="123">
        <f>738*1.16</f>
        <v>856.07999999999993</v>
      </c>
      <c r="U30" s="124">
        <f t="shared" si="5"/>
        <v>12841199.999999998</v>
      </c>
      <c r="V30" s="177">
        <v>0</v>
      </c>
      <c r="W30" s="176"/>
      <c r="X30" s="176"/>
      <c r="Y30" s="176"/>
      <c r="Z30" s="128">
        <v>180</v>
      </c>
      <c r="AA30" s="128">
        <f t="shared" si="2"/>
        <v>2700000</v>
      </c>
      <c r="AB30" s="176">
        <v>0</v>
      </c>
      <c r="AC30" s="178"/>
      <c r="AD30" s="131"/>
      <c r="AE30" s="132">
        <f>+AA30</f>
        <v>2700000</v>
      </c>
      <c r="AF30" s="133">
        <f t="shared" si="6"/>
        <v>2700000</v>
      </c>
    </row>
    <row r="31" spans="1:34" s="1" customFormat="1" ht="15.75" customHeight="1" thickBot="1">
      <c r="A31" s="206" t="s">
        <v>209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8"/>
      <c r="AD31" s="198"/>
      <c r="AE31" s="200">
        <f>SUM(AE8:AE30)</f>
        <v>43272937.543333329</v>
      </c>
      <c r="AF31" s="199"/>
      <c r="AH31" s="204"/>
    </row>
    <row r="32" spans="1:34" s="1" customFormat="1" ht="15" customHeight="1">
      <c r="A32" s="179">
        <v>24</v>
      </c>
      <c r="B32" s="227" t="s">
        <v>86</v>
      </c>
      <c r="C32" s="228"/>
      <c r="D32" s="15" t="s">
        <v>87</v>
      </c>
      <c r="E32" s="16" t="s">
        <v>88</v>
      </c>
      <c r="F32" s="17" t="s">
        <v>89</v>
      </c>
      <c r="G32" s="17" t="s">
        <v>90</v>
      </c>
      <c r="H32" s="17" t="s">
        <v>91</v>
      </c>
      <c r="I32" s="18"/>
      <c r="J32" s="19">
        <v>260</v>
      </c>
      <c r="K32" s="157">
        <v>1251</v>
      </c>
      <c r="L32" s="157">
        <v>1030</v>
      </c>
      <c r="M32" s="157">
        <v>553</v>
      </c>
      <c r="N32" s="157">
        <v>335</v>
      </c>
      <c r="O32" s="157">
        <v>223</v>
      </c>
      <c r="P32" s="157">
        <v>169</v>
      </c>
      <c r="Q32" s="158">
        <v>145</v>
      </c>
      <c r="R32" s="159">
        <v>1030</v>
      </c>
      <c r="S32" s="160">
        <f t="shared" si="4"/>
        <v>267800</v>
      </c>
      <c r="T32" s="161">
        <f>1873*1.16</f>
        <v>2172.6799999999998</v>
      </c>
      <c r="U32" s="162">
        <f t="shared" si="5"/>
        <v>564896.79999999993</v>
      </c>
      <c r="V32" s="180">
        <v>1575</v>
      </c>
      <c r="W32" s="181">
        <f t="shared" si="0"/>
        <v>409500</v>
      </c>
      <c r="X32" s="165">
        <v>640</v>
      </c>
      <c r="Y32" s="165">
        <f t="shared" si="1"/>
        <v>166400</v>
      </c>
      <c r="Z32" s="166">
        <v>1500</v>
      </c>
      <c r="AA32" s="166">
        <f t="shared" si="2"/>
        <v>390000</v>
      </c>
      <c r="AB32" s="167">
        <v>680</v>
      </c>
      <c r="AC32" s="168">
        <f t="shared" si="3"/>
        <v>205088</v>
      </c>
      <c r="AD32" s="169"/>
      <c r="AE32" s="170">
        <f>AVERAGE(S32,U32,W32,Y32,AA32,AC32)</f>
        <v>333947.46666666662</v>
      </c>
      <c r="AF32" s="171">
        <f t="shared" si="6"/>
        <v>166400</v>
      </c>
    </row>
    <row r="33" spans="1:32" s="1" customFormat="1" ht="12.75">
      <c r="A33" s="14">
        <v>25</v>
      </c>
      <c r="B33" s="229"/>
      <c r="C33" s="230"/>
      <c r="D33" s="20" t="s">
        <v>92</v>
      </c>
      <c r="E33" s="21" t="s">
        <v>93</v>
      </c>
      <c r="F33" s="22" t="s">
        <v>89</v>
      </c>
      <c r="G33" s="22" t="s">
        <v>90</v>
      </c>
      <c r="H33" s="22" t="s">
        <v>94</v>
      </c>
      <c r="I33" s="23"/>
      <c r="J33" s="24">
        <v>260</v>
      </c>
      <c r="K33" s="12">
        <v>652</v>
      </c>
      <c r="L33" s="12">
        <v>436</v>
      </c>
      <c r="M33" s="12">
        <v>307</v>
      </c>
      <c r="N33" s="12">
        <v>264</v>
      </c>
      <c r="O33" s="12">
        <v>183</v>
      </c>
      <c r="P33" s="12">
        <v>126</v>
      </c>
      <c r="Q33" s="85">
        <v>94</v>
      </c>
      <c r="R33" s="117">
        <v>436</v>
      </c>
      <c r="S33" s="90">
        <f t="shared" si="4"/>
        <v>113360</v>
      </c>
      <c r="T33" s="92">
        <f>1486*1.16</f>
        <v>1723.76</v>
      </c>
      <c r="U33" s="93">
        <f t="shared" si="5"/>
        <v>448177.6</v>
      </c>
      <c r="V33" s="95">
        <v>1443</v>
      </c>
      <c r="W33" s="91">
        <f t="shared" si="0"/>
        <v>375180</v>
      </c>
      <c r="X33" s="96">
        <v>1526</v>
      </c>
      <c r="Y33" s="96">
        <f t="shared" si="1"/>
        <v>396760</v>
      </c>
      <c r="Z33" s="97">
        <v>1100</v>
      </c>
      <c r="AA33" s="97">
        <f t="shared" si="2"/>
        <v>286000</v>
      </c>
      <c r="AB33" s="98">
        <v>944</v>
      </c>
      <c r="AC33" s="99">
        <f t="shared" si="3"/>
        <v>284710.39999999997</v>
      </c>
      <c r="AD33" s="115"/>
      <c r="AE33" s="100">
        <f>AVERAGE(S33,U33,W33,Y33,AA33,AC33)</f>
        <v>317364.66666666669</v>
      </c>
      <c r="AF33" s="118">
        <f t="shared" si="6"/>
        <v>113360</v>
      </c>
    </row>
    <row r="34" spans="1:32" s="1" customFormat="1" ht="12.75" customHeight="1">
      <c r="A34" s="14">
        <v>26</v>
      </c>
      <c r="B34" s="229"/>
      <c r="C34" s="230"/>
      <c r="D34" s="20" t="s">
        <v>95</v>
      </c>
      <c r="E34" s="22" t="s">
        <v>96</v>
      </c>
      <c r="F34" s="22" t="s">
        <v>97</v>
      </c>
      <c r="G34" s="22" t="s">
        <v>98</v>
      </c>
      <c r="H34" s="22" t="s">
        <v>99</v>
      </c>
      <c r="I34" s="23"/>
      <c r="J34" s="24">
        <v>150</v>
      </c>
      <c r="K34" s="12">
        <v>4580</v>
      </c>
      <c r="L34" s="12">
        <v>2375</v>
      </c>
      <c r="M34" s="12">
        <v>1050</v>
      </c>
      <c r="N34" s="12">
        <v>614</v>
      </c>
      <c r="O34" s="12">
        <v>399</v>
      </c>
      <c r="P34" s="12">
        <v>293</v>
      </c>
      <c r="Q34" s="85">
        <v>246</v>
      </c>
      <c r="R34" s="117">
        <v>4580</v>
      </c>
      <c r="S34" s="90">
        <f t="shared" si="4"/>
        <v>687000</v>
      </c>
      <c r="T34" s="92">
        <f>3945*1.16</f>
        <v>4576.2</v>
      </c>
      <c r="U34" s="93">
        <f t="shared" si="5"/>
        <v>686430</v>
      </c>
      <c r="V34" s="95">
        <v>3715</v>
      </c>
      <c r="W34" s="91">
        <f t="shared" si="0"/>
        <v>557250</v>
      </c>
      <c r="X34" s="96">
        <v>1702</v>
      </c>
      <c r="Y34" s="96">
        <f t="shared" si="1"/>
        <v>255300</v>
      </c>
      <c r="Z34" s="97">
        <v>420000</v>
      </c>
      <c r="AA34" s="97">
        <f t="shared" si="2"/>
        <v>63000000</v>
      </c>
      <c r="AB34" s="98">
        <v>1800</v>
      </c>
      <c r="AC34" s="99">
        <f t="shared" si="3"/>
        <v>313200</v>
      </c>
      <c r="AD34" s="115"/>
      <c r="AE34" s="100">
        <f>AVERAGE(S34,U34,W34,AC34)</f>
        <v>560970</v>
      </c>
      <c r="AF34" s="118">
        <f t="shared" si="6"/>
        <v>255300</v>
      </c>
    </row>
    <row r="35" spans="1:32" s="1" customFormat="1" ht="29.25" customHeight="1">
      <c r="A35" s="14">
        <v>27</v>
      </c>
      <c r="B35" s="229"/>
      <c r="C35" s="230"/>
      <c r="D35" s="21" t="s">
        <v>100</v>
      </c>
      <c r="E35" s="21"/>
      <c r="F35" s="25" t="s">
        <v>101</v>
      </c>
      <c r="G35" s="21" t="s">
        <v>102</v>
      </c>
      <c r="H35" s="21" t="s">
        <v>102</v>
      </c>
      <c r="I35" s="21"/>
      <c r="J35" s="24">
        <v>800</v>
      </c>
      <c r="K35" s="12">
        <v>1.0580000000000001</v>
      </c>
      <c r="L35" s="12"/>
      <c r="M35" s="12"/>
      <c r="N35" s="12"/>
      <c r="O35" s="12"/>
      <c r="P35" s="12"/>
      <c r="Q35" s="85"/>
      <c r="R35" s="117">
        <v>1058</v>
      </c>
      <c r="S35" s="90">
        <f t="shared" si="4"/>
        <v>846400</v>
      </c>
      <c r="T35" s="92">
        <f>1259*1.16</f>
        <v>1460.4399999999998</v>
      </c>
      <c r="U35" s="93">
        <f t="shared" si="5"/>
        <v>1168351.9999999998</v>
      </c>
      <c r="V35" s="112">
        <v>0</v>
      </c>
      <c r="W35" s="110"/>
      <c r="X35" s="96">
        <v>380</v>
      </c>
      <c r="Y35" s="96">
        <f t="shared" si="1"/>
        <v>304000</v>
      </c>
      <c r="Z35" s="97">
        <v>1350</v>
      </c>
      <c r="AA35" s="97">
        <f t="shared" si="2"/>
        <v>1080000</v>
      </c>
      <c r="AB35" s="98">
        <v>749</v>
      </c>
      <c r="AC35" s="99">
        <f t="shared" si="3"/>
        <v>695072</v>
      </c>
      <c r="AD35" s="115"/>
      <c r="AE35" s="100">
        <f>AVERAGE(S35,U35,W35,AA35,AC35)</f>
        <v>947456</v>
      </c>
      <c r="AF35" s="118">
        <f t="shared" si="6"/>
        <v>304000</v>
      </c>
    </row>
    <row r="36" spans="1:32" s="1" customFormat="1" ht="15.75" customHeight="1">
      <c r="A36" s="14">
        <v>28</v>
      </c>
      <c r="B36" s="229"/>
      <c r="C36" s="230"/>
      <c r="D36" s="75" t="s">
        <v>103</v>
      </c>
      <c r="E36" s="76" t="s">
        <v>104</v>
      </c>
      <c r="F36" s="76"/>
      <c r="G36" s="76" t="s">
        <v>105</v>
      </c>
      <c r="H36" s="76"/>
      <c r="I36" s="76"/>
      <c r="J36" s="77">
        <v>2</v>
      </c>
      <c r="K36" s="70">
        <v>20000</v>
      </c>
      <c r="L36" s="70"/>
      <c r="M36" s="70"/>
      <c r="N36" s="70"/>
      <c r="O36" s="70"/>
      <c r="P36" s="70"/>
      <c r="Q36" s="86"/>
      <c r="R36" s="117">
        <v>25000</v>
      </c>
      <c r="S36" s="90">
        <f t="shared" si="4"/>
        <v>50000</v>
      </c>
      <c r="T36" s="92">
        <f>78650*1.16</f>
        <v>91234</v>
      </c>
      <c r="U36" s="93">
        <f t="shared" si="5"/>
        <v>182468</v>
      </c>
      <c r="V36" s="112">
        <v>0</v>
      </c>
      <c r="W36" s="110"/>
      <c r="X36" s="96">
        <v>36000</v>
      </c>
      <c r="Y36" s="96">
        <f t="shared" si="1"/>
        <v>72000</v>
      </c>
      <c r="Z36" s="97">
        <v>40000</v>
      </c>
      <c r="AA36" s="97">
        <f t="shared" si="2"/>
        <v>80000</v>
      </c>
      <c r="AB36" s="98">
        <v>128000</v>
      </c>
      <c r="AC36" s="99">
        <f t="shared" si="3"/>
        <v>296960</v>
      </c>
      <c r="AD36" s="115"/>
      <c r="AE36" s="100">
        <f>AVERAGE(S36,U36,W36,Y36,AA36)</f>
        <v>96117</v>
      </c>
      <c r="AF36" s="118">
        <f t="shared" si="6"/>
        <v>50000</v>
      </c>
    </row>
    <row r="37" spans="1:32" s="1" customFormat="1" ht="38.25">
      <c r="A37" s="14">
        <v>29</v>
      </c>
      <c r="B37" s="229"/>
      <c r="C37" s="230"/>
      <c r="D37" s="20" t="s">
        <v>106</v>
      </c>
      <c r="E37" s="22" t="s">
        <v>88</v>
      </c>
      <c r="F37" s="22" t="s">
        <v>107</v>
      </c>
      <c r="G37" s="22" t="s">
        <v>98</v>
      </c>
      <c r="H37" s="22" t="s">
        <v>99</v>
      </c>
      <c r="I37" s="21"/>
      <c r="J37" s="26">
        <v>900</v>
      </c>
      <c r="K37" s="12">
        <v>2486</v>
      </c>
      <c r="L37" s="12">
        <v>2070</v>
      </c>
      <c r="M37" s="12">
        <v>753</v>
      </c>
      <c r="N37" s="12">
        <v>412</v>
      </c>
      <c r="O37" s="12">
        <v>264</v>
      </c>
      <c r="P37" s="12">
        <v>192</v>
      </c>
      <c r="Q37" s="85">
        <v>162</v>
      </c>
      <c r="R37" s="117">
        <v>753</v>
      </c>
      <c r="S37" s="90">
        <f t="shared" si="4"/>
        <v>677700</v>
      </c>
      <c r="T37" s="92">
        <f>1078*1.16</f>
        <v>1250.48</v>
      </c>
      <c r="U37" s="93">
        <f t="shared" si="5"/>
        <v>1125432</v>
      </c>
      <c r="V37" s="95">
        <v>1208</v>
      </c>
      <c r="W37" s="91">
        <f t="shared" si="0"/>
        <v>1087200</v>
      </c>
      <c r="X37" s="96">
        <v>484</v>
      </c>
      <c r="Y37" s="96">
        <f t="shared" si="1"/>
        <v>435600</v>
      </c>
      <c r="Z37" s="97">
        <v>1700</v>
      </c>
      <c r="AA37" s="97">
        <f t="shared" si="2"/>
        <v>1530000</v>
      </c>
      <c r="AB37" s="98">
        <v>412</v>
      </c>
      <c r="AC37" s="99">
        <f t="shared" si="3"/>
        <v>430127.99999999994</v>
      </c>
      <c r="AD37" s="115"/>
      <c r="AE37" s="100">
        <f>AVERAGE(S37,U37,W37,Y37,AA37,AC37)</f>
        <v>881010</v>
      </c>
      <c r="AF37" s="118">
        <f t="shared" si="6"/>
        <v>430127.99999999994</v>
      </c>
    </row>
    <row r="38" spans="1:32" s="1" customFormat="1" ht="15.75" customHeight="1">
      <c r="A38" s="14">
        <v>30</v>
      </c>
      <c r="B38" s="229"/>
      <c r="C38" s="230"/>
      <c r="D38" s="20" t="s">
        <v>87</v>
      </c>
      <c r="E38" s="27" t="s">
        <v>88</v>
      </c>
      <c r="F38" s="22" t="s">
        <v>89</v>
      </c>
      <c r="G38" s="22" t="s">
        <v>90</v>
      </c>
      <c r="H38" s="22" t="s">
        <v>91</v>
      </c>
      <c r="I38" s="21"/>
      <c r="J38" s="24">
        <v>650</v>
      </c>
      <c r="K38" s="12">
        <v>1251</v>
      </c>
      <c r="L38" s="12">
        <v>1030</v>
      </c>
      <c r="M38" s="12">
        <v>553</v>
      </c>
      <c r="N38" s="12">
        <v>335</v>
      </c>
      <c r="O38" s="12">
        <v>223</v>
      </c>
      <c r="P38" s="12">
        <v>169</v>
      </c>
      <c r="Q38" s="85">
        <v>145</v>
      </c>
      <c r="R38" s="117">
        <v>553</v>
      </c>
      <c r="S38" s="90">
        <f t="shared" si="4"/>
        <v>359450</v>
      </c>
      <c r="T38" s="92">
        <f>996*1.16</f>
        <v>1155.3599999999999</v>
      </c>
      <c r="U38" s="93">
        <f t="shared" si="5"/>
        <v>750983.99999999988</v>
      </c>
      <c r="V38" s="95">
        <v>0</v>
      </c>
      <c r="W38" s="91"/>
      <c r="X38" s="96">
        <v>316</v>
      </c>
      <c r="Y38" s="96">
        <f t="shared" si="1"/>
        <v>205400</v>
      </c>
      <c r="Z38" s="97">
        <v>700</v>
      </c>
      <c r="AA38" s="97">
        <f t="shared" si="2"/>
        <v>455000</v>
      </c>
      <c r="AB38" s="98">
        <v>345</v>
      </c>
      <c r="AC38" s="99">
        <f t="shared" si="3"/>
        <v>260129.99999999997</v>
      </c>
      <c r="AD38" s="115"/>
      <c r="AE38" s="100">
        <f>AVERAGE(S38,U38,W38,Y38,AA38,AC38)</f>
        <v>406192.8</v>
      </c>
      <c r="AF38" s="118">
        <f t="shared" si="6"/>
        <v>205400</v>
      </c>
    </row>
    <row r="39" spans="1:32" s="1" customFormat="1" ht="15.75" customHeight="1">
      <c r="A39" s="14">
        <v>31</v>
      </c>
      <c r="B39" s="229"/>
      <c r="C39" s="230"/>
      <c r="D39" s="20" t="s">
        <v>95</v>
      </c>
      <c r="E39" s="22" t="s">
        <v>96</v>
      </c>
      <c r="F39" s="22" t="s">
        <v>97</v>
      </c>
      <c r="G39" s="22" t="s">
        <v>98</v>
      </c>
      <c r="H39" s="22" t="s">
        <v>99</v>
      </c>
      <c r="I39" s="21"/>
      <c r="J39" s="24">
        <f>400+100</f>
        <v>500</v>
      </c>
      <c r="K39" s="12">
        <v>4580</v>
      </c>
      <c r="L39" s="12">
        <v>2375</v>
      </c>
      <c r="M39" s="12">
        <v>1050</v>
      </c>
      <c r="N39" s="12">
        <v>614</v>
      </c>
      <c r="O39" s="12">
        <v>399</v>
      </c>
      <c r="P39" s="12">
        <v>293</v>
      </c>
      <c r="Q39" s="85">
        <v>246</v>
      </c>
      <c r="R39" s="117">
        <v>2375</v>
      </c>
      <c r="S39" s="90">
        <f t="shared" si="4"/>
        <v>1187500</v>
      </c>
      <c r="T39" s="92">
        <f>1290*1.16</f>
        <v>1496.3999999999999</v>
      </c>
      <c r="U39" s="93">
        <f t="shared" si="5"/>
        <v>748199.99999999988</v>
      </c>
      <c r="V39" s="95">
        <v>1988</v>
      </c>
      <c r="W39" s="91">
        <f t="shared" si="0"/>
        <v>994000</v>
      </c>
      <c r="X39" s="96">
        <v>931</v>
      </c>
      <c r="Y39" s="96">
        <f t="shared" si="1"/>
        <v>465500</v>
      </c>
      <c r="Z39" s="97">
        <v>2400</v>
      </c>
      <c r="AA39" s="97">
        <f t="shared" si="2"/>
        <v>1200000</v>
      </c>
      <c r="AB39" s="98">
        <v>652</v>
      </c>
      <c r="AC39" s="99">
        <f t="shared" si="3"/>
        <v>378160</v>
      </c>
      <c r="AD39" s="115"/>
      <c r="AE39" s="100">
        <f>AVERAGE(S39,U39,W39,AA39)</f>
        <v>1032425</v>
      </c>
      <c r="AF39" s="118">
        <f t="shared" si="6"/>
        <v>378160</v>
      </c>
    </row>
    <row r="40" spans="1:32" s="1" customFormat="1" ht="38.25">
      <c r="A40" s="14">
        <v>32</v>
      </c>
      <c r="B40" s="229"/>
      <c r="C40" s="230"/>
      <c r="D40" s="20" t="s">
        <v>108</v>
      </c>
      <c r="E40" s="27" t="s">
        <v>109</v>
      </c>
      <c r="F40" s="22" t="s">
        <v>110</v>
      </c>
      <c r="G40" s="22" t="s">
        <v>98</v>
      </c>
      <c r="H40" s="22" t="s">
        <v>111</v>
      </c>
      <c r="I40" s="21"/>
      <c r="J40" s="24">
        <v>600</v>
      </c>
      <c r="K40" s="12">
        <v>17800</v>
      </c>
      <c r="L40" s="12">
        <v>9378</v>
      </c>
      <c r="M40" s="12">
        <v>4300</v>
      </c>
      <c r="N40" s="12">
        <v>2611</v>
      </c>
      <c r="O40" s="12">
        <v>1780</v>
      </c>
      <c r="P40" s="12">
        <v>1370</v>
      </c>
      <c r="Q40" s="85">
        <v>1190</v>
      </c>
      <c r="R40" s="117">
        <v>4300</v>
      </c>
      <c r="S40" s="90">
        <f t="shared" si="4"/>
        <v>2580000</v>
      </c>
      <c r="T40" s="92">
        <f>7848*1.16</f>
        <v>9103.6799999999985</v>
      </c>
      <c r="U40" s="93">
        <f t="shared" si="5"/>
        <v>5462207.9999999991</v>
      </c>
      <c r="V40" s="95">
        <v>3344</v>
      </c>
      <c r="W40" s="91">
        <f t="shared" si="0"/>
        <v>2006400</v>
      </c>
      <c r="X40" s="96">
        <v>929</v>
      </c>
      <c r="Y40" s="96">
        <f t="shared" si="1"/>
        <v>557400</v>
      </c>
      <c r="Z40" s="97">
        <v>2300</v>
      </c>
      <c r="AA40" s="97">
        <f t="shared" si="2"/>
        <v>1380000</v>
      </c>
      <c r="AB40" s="98">
        <v>2750</v>
      </c>
      <c r="AC40" s="99">
        <f t="shared" si="3"/>
        <v>1913999.9999999998</v>
      </c>
      <c r="AD40" s="115"/>
      <c r="AE40" s="100">
        <f>AVERAGE(S40,U40,W40,Y40,AC40)</f>
        <v>2504001.6</v>
      </c>
      <c r="AF40" s="118">
        <f t="shared" si="6"/>
        <v>557400</v>
      </c>
    </row>
    <row r="41" spans="1:32" s="1" customFormat="1" ht="15.75" customHeight="1">
      <c r="A41" s="14">
        <v>33</v>
      </c>
      <c r="B41" s="229"/>
      <c r="C41" s="230"/>
      <c r="D41" s="20" t="s">
        <v>112</v>
      </c>
      <c r="E41" s="21" t="s">
        <v>113</v>
      </c>
      <c r="F41" s="22" t="s">
        <v>110</v>
      </c>
      <c r="G41" s="22" t="s">
        <v>90</v>
      </c>
      <c r="H41" s="22" t="s">
        <v>114</v>
      </c>
      <c r="I41" s="21"/>
      <c r="J41" s="24">
        <v>200</v>
      </c>
      <c r="K41" s="12">
        <v>1000</v>
      </c>
      <c r="L41" s="12"/>
      <c r="M41" s="12"/>
      <c r="N41" s="12"/>
      <c r="O41" s="12"/>
      <c r="P41" s="12"/>
      <c r="Q41" s="85"/>
      <c r="R41" s="117">
        <v>1000</v>
      </c>
      <c r="S41" s="90">
        <f t="shared" si="4"/>
        <v>200000</v>
      </c>
      <c r="T41" s="92">
        <f>2494*1.16</f>
        <v>2893.04</v>
      </c>
      <c r="U41" s="93">
        <f t="shared" si="5"/>
        <v>578608</v>
      </c>
      <c r="V41" s="112">
        <v>0</v>
      </c>
      <c r="W41" s="110"/>
      <c r="X41" s="96">
        <v>907</v>
      </c>
      <c r="Y41" s="96">
        <f t="shared" si="1"/>
        <v>181400</v>
      </c>
      <c r="Z41" s="97">
        <v>30000</v>
      </c>
      <c r="AA41" s="97">
        <f t="shared" si="2"/>
        <v>6000000</v>
      </c>
      <c r="AB41" s="98">
        <v>1870</v>
      </c>
      <c r="AC41" s="99">
        <f t="shared" si="3"/>
        <v>433839.99999999994</v>
      </c>
      <c r="AD41" s="115"/>
      <c r="AE41" s="100">
        <f>AVERAGE(S41,U41,W41,Y41,AC41)</f>
        <v>348462</v>
      </c>
      <c r="AF41" s="118">
        <f t="shared" si="6"/>
        <v>181400</v>
      </c>
    </row>
    <row r="42" spans="1:32" s="1" customFormat="1" ht="102">
      <c r="A42" s="14">
        <v>34</v>
      </c>
      <c r="B42" s="229"/>
      <c r="C42" s="230"/>
      <c r="D42" s="20" t="s">
        <v>115</v>
      </c>
      <c r="E42" s="22" t="s">
        <v>116</v>
      </c>
      <c r="F42" s="27" t="s">
        <v>117</v>
      </c>
      <c r="G42" s="27" t="s">
        <v>118</v>
      </c>
      <c r="H42" s="27" t="s">
        <v>119</v>
      </c>
      <c r="I42" s="21"/>
      <c r="J42" s="24">
        <v>600</v>
      </c>
      <c r="K42" s="12">
        <v>12400</v>
      </c>
      <c r="L42" s="12">
        <v>10217</v>
      </c>
      <c r="M42" s="12">
        <v>8210</v>
      </c>
      <c r="N42" s="12">
        <v>7035</v>
      </c>
      <c r="O42" s="12">
        <v>6280</v>
      </c>
      <c r="P42" s="12">
        <v>5870</v>
      </c>
      <c r="Q42" s="85">
        <v>5640</v>
      </c>
      <c r="R42" s="117">
        <v>8210</v>
      </c>
      <c r="S42" s="90">
        <f t="shared" si="4"/>
        <v>4926000</v>
      </c>
      <c r="T42" s="92">
        <f>8020*1.16</f>
        <v>9303.1999999999989</v>
      </c>
      <c r="U42" s="93">
        <f t="shared" si="5"/>
        <v>5581919.9999999991</v>
      </c>
      <c r="V42" s="112">
        <v>0</v>
      </c>
      <c r="W42" s="110"/>
      <c r="X42" s="96">
        <v>4221</v>
      </c>
      <c r="Y42" s="96">
        <f t="shared" si="1"/>
        <v>2532600</v>
      </c>
      <c r="Z42" s="97">
        <v>9500</v>
      </c>
      <c r="AA42" s="97">
        <f t="shared" si="2"/>
        <v>5700000</v>
      </c>
      <c r="AB42" s="98">
        <v>4240</v>
      </c>
      <c r="AC42" s="99">
        <f t="shared" si="3"/>
        <v>2951040</v>
      </c>
      <c r="AD42" s="115"/>
      <c r="AE42" s="100">
        <f>AVERAGE(S42,U42,W42,AA42,AC42)</f>
        <v>4789740</v>
      </c>
      <c r="AF42" s="118">
        <f t="shared" si="6"/>
        <v>2532600</v>
      </c>
    </row>
    <row r="43" spans="1:32" s="1" customFormat="1" ht="15.75" customHeight="1">
      <c r="A43" s="14">
        <v>35</v>
      </c>
      <c r="B43" s="229"/>
      <c r="C43" s="230"/>
      <c r="D43" s="20" t="s">
        <v>92</v>
      </c>
      <c r="E43" s="21" t="s">
        <v>93</v>
      </c>
      <c r="F43" s="22" t="s">
        <v>89</v>
      </c>
      <c r="G43" s="22" t="s">
        <v>90</v>
      </c>
      <c r="H43" s="22" t="s">
        <v>94</v>
      </c>
      <c r="I43" s="21"/>
      <c r="J43" s="24">
        <v>600</v>
      </c>
      <c r="K43" s="12">
        <v>652</v>
      </c>
      <c r="L43" s="12">
        <v>436</v>
      </c>
      <c r="M43" s="12">
        <v>307</v>
      </c>
      <c r="N43" s="12">
        <v>264</v>
      </c>
      <c r="O43" s="12">
        <v>183</v>
      </c>
      <c r="P43" s="12">
        <v>126</v>
      </c>
      <c r="Q43" s="85">
        <v>94</v>
      </c>
      <c r="R43" s="117">
        <v>307</v>
      </c>
      <c r="S43" s="90">
        <f t="shared" si="4"/>
        <v>184200</v>
      </c>
      <c r="T43" s="92">
        <f>721*1.16</f>
        <v>836.3599999999999</v>
      </c>
      <c r="U43" s="93">
        <f t="shared" si="5"/>
        <v>501815.99999999994</v>
      </c>
      <c r="V43" s="95">
        <v>595</v>
      </c>
      <c r="W43" s="91">
        <f t="shared" si="0"/>
        <v>357000</v>
      </c>
      <c r="X43" s="96">
        <v>1200</v>
      </c>
      <c r="Y43" s="96">
        <f t="shared" si="1"/>
        <v>720000</v>
      </c>
      <c r="Z43" s="97">
        <v>600</v>
      </c>
      <c r="AA43" s="97">
        <f t="shared" si="2"/>
        <v>360000</v>
      </c>
      <c r="AB43" s="98">
        <v>771</v>
      </c>
      <c r="AC43" s="99">
        <f t="shared" si="3"/>
        <v>536616</v>
      </c>
      <c r="AD43" s="115"/>
      <c r="AE43" s="100">
        <f>AVERAGE(S43,U43,W43,Y43,AA43,AC43)</f>
        <v>443272</v>
      </c>
      <c r="AF43" s="118">
        <f t="shared" si="6"/>
        <v>184200</v>
      </c>
    </row>
    <row r="44" spans="1:32" s="1" customFormat="1" ht="15.75" customHeight="1">
      <c r="A44" s="14">
        <v>36</v>
      </c>
      <c r="B44" s="229"/>
      <c r="C44" s="230"/>
      <c r="D44" s="75" t="s">
        <v>120</v>
      </c>
      <c r="E44" s="76" t="s">
        <v>121</v>
      </c>
      <c r="F44" s="76" t="s">
        <v>122</v>
      </c>
      <c r="G44" s="76" t="s">
        <v>123</v>
      </c>
      <c r="H44" s="76" t="s">
        <v>114</v>
      </c>
      <c r="I44" s="76"/>
      <c r="J44" s="77">
        <v>20</v>
      </c>
      <c r="K44" s="70"/>
      <c r="L44" s="70"/>
      <c r="M44" s="70"/>
      <c r="N44" s="70"/>
      <c r="O44" s="70"/>
      <c r="P44" s="70"/>
      <c r="Q44" s="86"/>
      <c r="R44" s="117">
        <v>0</v>
      </c>
      <c r="S44" s="90"/>
      <c r="T44" s="92">
        <f>99220*1.16</f>
        <v>115095.2</v>
      </c>
      <c r="U44" s="93">
        <f t="shared" si="5"/>
        <v>2301904</v>
      </c>
      <c r="V44" s="112">
        <v>0</v>
      </c>
      <c r="W44" s="110"/>
      <c r="X44" s="96">
        <v>27000</v>
      </c>
      <c r="Y44" s="96">
        <f t="shared" si="1"/>
        <v>540000</v>
      </c>
      <c r="Z44" s="97">
        <v>21000</v>
      </c>
      <c r="AA44" s="97">
        <f t="shared" si="2"/>
        <v>420000</v>
      </c>
      <c r="AB44" s="98">
        <v>88000</v>
      </c>
      <c r="AC44" s="99">
        <f t="shared" si="3"/>
        <v>2041599.9999999998</v>
      </c>
      <c r="AD44" s="115"/>
      <c r="AE44" s="100">
        <f>AVERAGE(S44,U44,W44,Y44,AA44,AC44)</f>
        <v>1325876</v>
      </c>
      <c r="AF44" s="118">
        <f t="shared" si="6"/>
        <v>420000</v>
      </c>
    </row>
    <row r="45" spans="1:32" s="1" customFormat="1" ht="12.75" customHeight="1" thickBot="1">
      <c r="A45" s="28">
        <v>37</v>
      </c>
      <c r="B45" s="231"/>
      <c r="C45" s="232"/>
      <c r="D45" s="29" t="s">
        <v>124</v>
      </c>
      <c r="E45" s="233" t="s">
        <v>125</v>
      </c>
      <c r="F45" s="233"/>
      <c r="G45" s="233"/>
      <c r="H45" s="233"/>
      <c r="I45" s="30"/>
      <c r="J45" s="31">
        <v>8000</v>
      </c>
      <c r="K45" s="182">
        <v>140</v>
      </c>
      <c r="L45" s="182">
        <v>130</v>
      </c>
      <c r="M45" s="182">
        <v>90</v>
      </c>
      <c r="N45" s="182">
        <v>70</v>
      </c>
      <c r="O45" s="182">
        <v>62</v>
      </c>
      <c r="P45" s="182">
        <v>42</v>
      </c>
      <c r="Q45" s="183"/>
      <c r="R45" s="121">
        <v>42</v>
      </c>
      <c r="S45" s="122">
        <f t="shared" si="4"/>
        <v>336000</v>
      </c>
      <c r="T45" s="123">
        <f>87*1.16</f>
        <v>100.91999999999999</v>
      </c>
      <c r="U45" s="124">
        <f t="shared" si="5"/>
        <v>807359.99999999988</v>
      </c>
      <c r="V45" s="177">
        <v>0</v>
      </c>
      <c r="W45" s="176"/>
      <c r="X45" s="127">
        <v>30</v>
      </c>
      <c r="Y45" s="127">
        <f t="shared" si="1"/>
        <v>240000</v>
      </c>
      <c r="Z45" s="128">
        <v>80</v>
      </c>
      <c r="AA45" s="128">
        <f t="shared" si="2"/>
        <v>640000</v>
      </c>
      <c r="AB45" s="129">
        <v>70</v>
      </c>
      <c r="AC45" s="130">
        <f t="shared" si="3"/>
        <v>649600</v>
      </c>
      <c r="AD45" s="131"/>
      <c r="AE45" s="132">
        <f>AVERAGE(S45,U45,W45,Y45,AA45,AC45)</f>
        <v>534592</v>
      </c>
      <c r="AF45" s="133">
        <f t="shared" si="6"/>
        <v>240000</v>
      </c>
    </row>
    <row r="46" spans="1:32" s="1" customFormat="1" ht="12.75" customHeight="1" thickBot="1">
      <c r="A46" s="206" t="s">
        <v>205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8"/>
      <c r="AD46" s="198"/>
      <c r="AE46" s="200">
        <f>SUM(AE32:AE45)</f>
        <v>14521426.533333333</v>
      </c>
      <c r="AF46" s="199"/>
    </row>
    <row r="47" spans="1:32" s="1" customFormat="1" ht="12.75">
      <c r="A47" s="32">
        <v>38</v>
      </c>
      <c r="B47" s="240" t="s">
        <v>126</v>
      </c>
      <c r="C47" s="241"/>
      <c r="D47" s="15" t="s">
        <v>127</v>
      </c>
      <c r="E47" s="17" t="s">
        <v>128</v>
      </c>
      <c r="F47" s="17" t="s">
        <v>129</v>
      </c>
      <c r="G47" s="17" t="s">
        <v>102</v>
      </c>
      <c r="H47" s="17" t="s">
        <v>102</v>
      </c>
      <c r="I47" s="17" t="s">
        <v>130</v>
      </c>
      <c r="J47" s="59">
        <v>3000</v>
      </c>
      <c r="K47" s="157">
        <v>1058</v>
      </c>
      <c r="L47" s="157"/>
      <c r="M47" s="157"/>
      <c r="N47" s="157"/>
      <c r="O47" s="157"/>
      <c r="P47" s="157"/>
      <c r="Q47" s="158"/>
      <c r="R47" s="159">
        <v>1058</v>
      </c>
      <c r="S47" s="160">
        <f t="shared" si="4"/>
        <v>3174000</v>
      </c>
      <c r="T47" s="161">
        <f>906*1.16</f>
        <v>1050.96</v>
      </c>
      <c r="U47" s="162">
        <f t="shared" si="5"/>
        <v>3152880</v>
      </c>
      <c r="V47" s="163">
        <v>0</v>
      </c>
      <c r="W47" s="164"/>
      <c r="X47" s="165">
        <v>380</v>
      </c>
      <c r="Y47" s="165">
        <f t="shared" si="1"/>
        <v>1140000</v>
      </c>
      <c r="Z47" s="166">
        <v>1250</v>
      </c>
      <c r="AA47" s="166">
        <f t="shared" si="2"/>
        <v>3750000</v>
      </c>
      <c r="AB47" s="167">
        <v>705</v>
      </c>
      <c r="AC47" s="168">
        <f t="shared" si="3"/>
        <v>2453400</v>
      </c>
      <c r="AD47" s="169"/>
      <c r="AE47" s="170">
        <f>AVERAGE(S47,U47,W47,Y47,AA47,AC47)</f>
        <v>2734056</v>
      </c>
      <c r="AF47" s="171">
        <f t="shared" si="6"/>
        <v>1140000</v>
      </c>
    </row>
    <row r="48" spans="1:32" s="1" customFormat="1" ht="25.5">
      <c r="A48" s="34">
        <v>39</v>
      </c>
      <c r="B48" s="242"/>
      <c r="C48" s="243"/>
      <c r="D48" s="20" t="s">
        <v>131</v>
      </c>
      <c r="E48" s="22" t="s">
        <v>88</v>
      </c>
      <c r="F48" s="22" t="s">
        <v>132</v>
      </c>
      <c r="G48" s="22" t="s">
        <v>133</v>
      </c>
      <c r="H48" s="22" t="s">
        <v>134</v>
      </c>
      <c r="I48" s="22" t="s">
        <v>135</v>
      </c>
      <c r="J48" s="33">
        <v>500</v>
      </c>
      <c r="K48" s="12">
        <v>26502</v>
      </c>
      <c r="L48" s="12">
        <v>13617</v>
      </c>
      <c r="M48" s="12">
        <v>6061</v>
      </c>
      <c r="N48" s="12">
        <v>3600</v>
      </c>
      <c r="O48" s="12">
        <v>2520</v>
      </c>
      <c r="P48" s="12">
        <v>1990</v>
      </c>
      <c r="Q48" s="85">
        <v>1740</v>
      </c>
      <c r="R48" s="120">
        <v>13617</v>
      </c>
      <c r="S48" s="90">
        <f t="shared" si="4"/>
        <v>6808500</v>
      </c>
      <c r="T48" s="92">
        <v>6268</v>
      </c>
      <c r="U48" s="93">
        <f t="shared" si="5"/>
        <v>3134000</v>
      </c>
      <c r="V48" s="112">
        <v>0</v>
      </c>
      <c r="W48" s="110"/>
      <c r="X48" s="96">
        <v>5385</v>
      </c>
      <c r="Y48" s="96">
        <f t="shared" si="1"/>
        <v>2692500</v>
      </c>
      <c r="Z48" s="97">
        <v>26500</v>
      </c>
      <c r="AA48" s="97">
        <f t="shared" si="2"/>
        <v>13250000</v>
      </c>
      <c r="AB48" s="98">
        <v>4772</v>
      </c>
      <c r="AC48" s="99">
        <f t="shared" ref="AC48:AC55" si="8">AB48*J48</f>
        <v>2386000</v>
      </c>
      <c r="AD48" s="115"/>
      <c r="AE48" s="100">
        <f>AVERAGE(S48,U48,W48,Y48,AC48)</f>
        <v>3755250</v>
      </c>
      <c r="AF48" s="118">
        <f t="shared" si="6"/>
        <v>2386000</v>
      </c>
    </row>
    <row r="49" spans="1:32" s="1" customFormat="1" ht="64.5" thickBot="1">
      <c r="A49" s="34">
        <v>40</v>
      </c>
      <c r="B49" s="242"/>
      <c r="C49" s="243"/>
      <c r="D49" s="20" t="s">
        <v>136</v>
      </c>
      <c r="E49" s="22" t="s">
        <v>88</v>
      </c>
      <c r="F49" s="22" t="s">
        <v>137</v>
      </c>
      <c r="G49" s="22" t="s">
        <v>138</v>
      </c>
      <c r="H49" s="22" t="s">
        <v>139</v>
      </c>
      <c r="I49" s="22" t="s">
        <v>135</v>
      </c>
      <c r="J49" s="33">
        <v>6000</v>
      </c>
      <c r="K49" s="12"/>
      <c r="L49" s="12"/>
      <c r="M49" s="12"/>
      <c r="N49" s="12">
        <v>428</v>
      </c>
      <c r="O49" s="12"/>
      <c r="P49" s="12"/>
      <c r="Q49" s="85"/>
      <c r="R49" s="120">
        <v>428</v>
      </c>
      <c r="S49" s="90">
        <f t="shared" si="4"/>
        <v>2568000</v>
      </c>
      <c r="T49" s="92">
        <f>618*1.16</f>
        <v>716.88</v>
      </c>
      <c r="U49" s="93">
        <f t="shared" si="5"/>
        <v>4301280</v>
      </c>
      <c r="V49" s="112">
        <v>0</v>
      </c>
      <c r="W49" s="110"/>
      <c r="X49" s="96">
        <v>217</v>
      </c>
      <c r="Y49" s="96">
        <f t="shared" si="1"/>
        <v>1302000</v>
      </c>
      <c r="Z49" s="97">
        <v>200</v>
      </c>
      <c r="AA49" s="97">
        <f t="shared" si="2"/>
        <v>1200000</v>
      </c>
      <c r="AB49" s="98">
        <v>423</v>
      </c>
      <c r="AC49" s="99">
        <f>AB49*J49</f>
        <v>2538000</v>
      </c>
      <c r="AD49" s="115"/>
      <c r="AE49" s="100">
        <f>AVERAGE(S49,U49,W49,Y49,AA49,AC49)</f>
        <v>2381856</v>
      </c>
      <c r="AF49" s="118">
        <f t="shared" si="6"/>
        <v>1200000</v>
      </c>
    </row>
    <row r="50" spans="1:32" s="1" customFormat="1" ht="51">
      <c r="A50" s="32">
        <v>41</v>
      </c>
      <c r="B50" s="242"/>
      <c r="C50" s="243"/>
      <c r="D50" s="20" t="s">
        <v>140</v>
      </c>
      <c r="E50" s="22" t="s">
        <v>88</v>
      </c>
      <c r="F50" s="22" t="s">
        <v>141</v>
      </c>
      <c r="G50" s="22" t="s">
        <v>142</v>
      </c>
      <c r="H50" s="22" t="s">
        <v>99</v>
      </c>
      <c r="I50" s="22" t="s">
        <v>143</v>
      </c>
      <c r="J50" s="33">
        <v>4000</v>
      </c>
      <c r="K50" s="12"/>
      <c r="L50" s="12"/>
      <c r="M50" s="12"/>
      <c r="N50" s="12">
        <v>463</v>
      </c>
      <c r="O50" s="12"/>
      <c r="P50" s="12"/>
      <c r="Q50" s="85"/>
      <c r="R50" s="120">
        <v>463</v>
      </c>
      <c r="S50" s="90">
        <f t="shared" si="4"/>
        <v>1852000</v>
      </c>
      <c r="T50" s="92">
        <f>2263*1.16</f>
        <v>2625.08</v>
      </c>
      <c r="U50" s="93">
        <f>(T50*J50)/4</f>
        <v>2625080</v>
      </c>
      <c r="V50" s="112">
        <v>0</v>
      </c>
      <c r="W50" s="110"/>
      <c r="X50" s="96">
        <v>140</v>
      </c>
      <c r="Y50" s="96">
        <f t="shared" si="1"/>
        <v>560000</v>
      </c>
      <c r="Z50" s="97">
        <v>2900</v>
      </c>
      <c r="AA50" s="97">
        <f t="shared" si="2"/>
        <v>11600000</v>
      </c>
      <c r="AB50" s="98">
        <v>380</v>
      </c>
      <c r="AC50" s="99">
        <f>AB50*J50*1.16</f>
        <v>1763199.9999999998</v>
      </c>
      <c r="AD50" s="115"/>
      <c r="AE50" s="100">
        <f t="shared" ref="AE50:AE55" si="9">AVERAGE(S50,U50,W50,Y50,AC50)</f>
        <v>1700070</v>
      </c>
      <c r="AF50" s="118">
        <f t="shared" si="6"/>
        <v>560000</v>
      </c>
    </row>
    <row r="51" spans="1:32" s="1" customFormat="1" ht="38.25">
      <c r="A51" s="34">
        <v>42</v>
      </c>
      <c r="B51" s="242"/>
      <c r="C51" s="243"/>
      <c r="D51" s="20" t="s">
        <v>144</v>
      </c>
      <c r="E51" s="22" t="s">
        <v>88</v>
      </c>
      <c r="F51" s="22" t="s">
        <v>132</v>
      </c>
      <c r="G51" s="22" t="s">
        <v>133</v>
      </c>
      <c r="H51" s="22" t="s">
        <v>134</v>
      </c>
      <c r="I51" s="22" t="s">
        <v>135</v>
      </c>
      <c r="J51" s="33">
        <v>2000</v>
      </c>
      <c r="K51" s="12">
        <v>26502</v>
      </c>
      <c r="L51" s="12">
        <v>13617</v>
      </c>
      <c r="M51" s="12">
        <v>6061</v>
      </c>
      <c r="N51" s="12">
        <v>3600</v>
      </c>
      <c r="O51" s="12">
        <v>2520</v>
      </c>
      <c r="P51" s="12">
        <v>1990</v>
      </c>
      <c r="Q51" s="85">
        <v>1740</v>
      </c>
      <c r="R51" s="120">
        <v>3600</v>
      </c>
      <c r="S51" s="90">
        <f t="shared" si="4"/>
        <v>7200000</v>
      </c>
      <c r="T51" s="92">
        <v>3114</v>
      </c>
      <c r="U51" s="93">
        <f t="shared" si="5"/>
        <v>6228000</v>
      </c>
      <c r="V51" s="95">
        <v>3532</v>
      </c>
      <c r="W51" s="91">
        <f t="shared" si="0"/>
        <v>7064000</v>
      </c>
      <c r="X51" s="96">
        <v>2495</v>
      </c>
      <c r="Y51" s="96">
        <f t="shared" si="1"/>
        <v>4990000</v>
      </c>
      <c r="Z51" s="97">
        <v>6200</v>
      </c>
      <c r="AA51" s="97">
        <f t="shared" si="2"/>
        <v>12400000</v>
      </c>
      <c r="AB51" s="98">
        <v>2110</v>
      </c>
      <c r="AC51" s="99">
        <f t="shared" si="8"/>
        <v>4220000</v>
      </c>
      <c r="AD51" s="115"/>
      <c r="AE51" s="100">
        <f t="shared" si="9"/>
        <v>5940400</v>
      </c>
      <c r="AF51" s="118">
        <f t="shared" si="6"/>
        <v>4220000</v>
      </c>
    </row>
    <row r="52" spans="1:32" s="1" customFormat="1" ht="26.25" thickBot="1">
      <c r="A52" s="34">
        <v>43</v>
      </c>
      <c r="B52" s="244"/>
      <c r="C52" s="243"/>
      <c r="D52" s="20" t="s">
        <v>145</v>
      </c>
      <c r="E52" s="22" t="s">
        <v>88</v>
      </c>
      <c r="F52" s="22" t="s">
        <v>146</v>
      </c>
      <c r="G52" s="22" t="s">
        <v>133</v>
      </c>
      <c r="H52" s="22" t="s">
        <v>147</v>
      </c>
      <c r="I52" s="22" t="s">
        <v>135</v>
      </c>
      <c r="J52" s="33">
        <v>2000</v>
      </c>
      <c r="K52" s="12">
        <v>26502</v>
      </c>
      <c r="L52" s="12">
        <v>13617</v>
      </c>
      <c r="M52" s="12">
        <v>6061</v>
      </c>
      <c r="N52" s="12">
        <v>3600</v>
      </c>
      <c r="O52" s="12">
        <v>2520</v>
      </c>
      <c r="P52" s="12">
        <v>1990</v>
      </c>
      <c r="Q52" s="85">
        <v>1740</v>
      </c>
      <c r="R52" s="120">
        <v>3600</v>
      </c>
      <c r="S52" s="90">
        <f t="shared" si="4"/>
        <v>7200000</v>
      </c>
      <c r="T52" s="92">
        <v>2788</v>
      </c>
      <c r="U52" s="93">
        <f t="shared" si="5"/>
        <v>5576000</v>
      </c>
      <c r="V52" s="95">
        <v>3532</v>
      </c>
      <c r="W52" s="91">
        <f t="shared" si="0"/>
        <v>7064000</v>
      </c>
      <c r="X52" s="96">
        <v>2325</v>
      </c>
      <c r="Y52" s="96">
        <f t="shared" si="1"/>
        <v>4650000</v>
      </c>
      <c r="Z52" s="97">
        <v>6200</v>
      </c>
      <c r="AA52" s="97">
        <f t="shared" si="2"/>
        <v>12400000</v>
      </c>
      <c r="AB52" s="98">
        <v>2110</v>
      </c>
      <c r="AC52" s="99">
        <f t="shared" si="8"/>
        <v>4220000</v>
      </c>
      <c r="AD52" s="115"/>
      <c r="AE52" s="100">
        <f t="shared" si="9"/>
        <v>5742000</v>
      </c>
      <c r="AF52" s="118">
        <f t="shared" si="6"/>
        <v>4220000</v>
      </c>
    </row>
    <row r="53" spans="1:32" s="1" customFormat="1" ht="38.25">
      <c r="A53" s="32">
        <v>44</v>
      </c>
      <c r="B53" s="244"/>
      <c r="C53" s="243"/>
      <c r="D53" s="20" t="s">
        <v>148</v>
      </c>
      <c r="E53" s="22" t="s">
        <v>88</v>
      </c>
      <c r="F53" s="22" t="s">
        <v>149</v>
      </c>
      <c r="G53" s="22" t="s">
        <v>133</v>
      </c>
      <c r="H53" s="22" t="s">
        <v>150</v>
      </c>
      <c r="I53" s="22" t="s">
        <v>151</v>
      </c>
      <c r="J53" s="33">
        <v>250</v>
      </c>
      <c r="K53" s="12">
        <v>79420</v>
      </c>
      <c r="L53" s="12">
        <v>34684</v>
      </c>
      <c r="M53" s="12"/>
      <c r="N53" s="12"/>
      <c r="O53" s="12"/>
      <c r="P53" s="12"/>
      <c r="Q53" s="85"/>
      <c r="R53" s="120">
        <v>34684</v>
      </c>
      <c r="S53" s="90">
        <f t="shared" si="4"/>
        <v>8671000</v>
      </c>
      <c r="T53" s="92">
        <f>42138</f>
        <v>42138</v>
      </c>
      <c r="U53" s="93">
        <f t="shared" si="5"/>
        <v>10534500</v>
      </c>
      <c r="V53" s="95">
        <v>48087</v>
      </c>
      <c r="W53" s="91">
        <f t="shared" si="0"/>
        <v>12021750</v>
      </c>
      <c r="X53" s="96">
        <v>45650</v>
      </c>
      <c r="Y53" s="96">
        <f t="shared" si="1"/>
        <v>11412500</v>
      </c>
      <c r="Z53" s="97">
        <v>84000</v>
      </c>
      <c r="AA53" s="97">
        <f t="shared" si="2"/>
        <v>21000000</v>
      </c>
      <c r="AB53" s="98">
        <v>23900</v>
      </c>
      <c r="AC53" s="99">
        <f t="shared" si="8"/>
        <v>5975000</v>
      </c>
      <c r="AD53" s="115"/>
      <c r="AE53" s="100">
        <f t="shared" si="9"/>
        <v>9722950</v>
      </c>
      <c r="AF53" s="118">
        <f t="shared" si="6"/>
        <v>5975000</v>
      </c>
    </row>
    <row r="54" spans="1:32" s="1" customFormat="1" ht="25.5">
      <c r="A54" s="34">
        <v>45</v>
      </c>
      <c r="B54" s="244"/>
      <c r="C54" s="243"/>
      <c r="D54" s="20" t="s">
        <v>152</v>
      </c>
      <c r="E54" s="22" t="s">
        <v>88</v>
      </c>
      <c r="F54" s="22" t="s">
        <v>146</v>
      </c>
      <c r="G54" s="22" t="s">
        <v>133</v>
      </c>
      <c r="H54" s="22" t="s">
        <v>147</v>
      </c>
      <c r="I54" s="22" t="s">
        <v>135</v>
      </c>
      <c r="J54" s="33">
        <v>2000</v>
      </c>
      <c r="K54" s="12">
        <v>26502</v>
      </c>
      <c r="L54" s="12">
        <v>13617</v>
      </c>
      <c r="M54" s="12">
        <v>6061</v>
      </c>
      <c r="N54" s="12">
        <v>3600</v>
      </c>
      <c r="O54" s="12">
        <v>2520</v>
      </c>
      <c r="P54" s="12">
        <v>1990</v>
      </c>
      <c r="Q54" s="85">
        <v>1740</v>
      </c>
      <c r="R54" s="120">
        <v>3600</v>
      </c>
      <c r="S54" s="90">
        <f t="shared" si="4"/>
        <v>7200000</v>
      </c>
      <c r="T54" s="92">
        <v>2788</v>
      </c>
      <c r="U54" s="93">
        <f t="shared" si="5"/>
        <v>5576000</v>
      </c>
      <c r="V54" s="95">
        <v>3532</v>
      </c>
      <c r="W54" s="91">
        <f t="shared" si="0"/>
        <v>7064000</v>
      </c>
      <c r="X54" s="96">
        <v>2325</v>
      </c>
      <c r="Y54" s="96">
        <f t="shared" si="1"/>
        <v>4650000</v>
      </c>
      <c r="Z54" s="97">
        <v>6200</v>
      </c>
      <c r="AA54" s="97">
        <f t="shared" si="2"/>
        <v>12400000</v>
      </c>
      <c r="AB54" s="98">
        <v>2110</v>
      </c>
      <c r="AC54" s="99">
        <f t="shared" si="8"/>
        <v>4220000</v>
      </c>
      <c r="AD54" s="115"/>
      <c r="AE54" s="100">
        <f t="shared" si="9"/>
        <v>5742000</v>
      </c>
      <c r="AF54" s="118">
        <f t="shared" si="6"/>
        <v>4220000</v>
      </c>
    </row>
    <row r="55" spans="1:32" s="1" customFormat="1" ht="64.5" thickBot="1">
      <c r="A55" s="184">
        <v>46</v>
      </c>
      <c r="B55" s="245"/>
      <c r="C55" s="246"/>
      <c r="D55" s="185" t="s">
        <v>153</v>
      </c>
      <c r="E55" s="101" t="s">
        <v>88</v>
      </c>
      <c r="F55" s="101" t="s">
        <v>146</v>
      </c>
      <c r="G55" s="101" t="s">
        <v>133</v>
      </c>
      <c r="H55" s="101" t="s">
        <v>147</v>
      </c>
      <c r="I55" s="101" t="s">
        <v>135</v>
      </c>
      <c r="J55" s="139">
        <v>3000</v>
      </c>
      <c r="K55" s="182">
        <v>26502</v>
      </c>
      <c r="L55" s="182">
        <v>13617</v>
      </c>
      <c r="M55" s="182">
        <v>6061</v>
      </c>
      <c r="N55" s="182">
        <v>3600</v>
      </c>
      <c r="O55" s="182">
        <v>2520</v>
      </c>
      <c r="P55" s="182">
        <v>1990</v>
      </c>
      <c r="Q55" s="183">
        <v>1740</v>
      </c>
      <c r="R55" s="186">
        <v>2520</v>
      </c>
      <c r="S55" s="122">
        <f t="shared" si="4"/>
        <v>7560000</v>
      </c>
      <c r="T55" s="123">
        <v>10554</v>
      </c>
      <c r="U55" s="187">
        <f>(T55*J55)/3</f>
        <v>10554000</v>
      </c>
      <c r="V55" s="177">
        <v>0</v>
      </c>
      <c r="W55" s="176"/>
      <c r="X55" s="127">
        <v>2325</v>
      </c>
      <c r="Y55" s="127">
        <f t="shared" si="1"/>
        <v>6975000</v>
      </c>
      <c r="Z55" s="128">
        <v>12108</v>
      </c>
      <c r="AA55" s="128">
        <f t="shared" si="2"/>
        <v>36324000</v>
      </c>
      <c r="AB55" s="129">
        <v>2541</v>
      </c>
      <c r="AC55" s="130">
        <f t="shared" si="8"/>
        <v>7623000</v>
      </c>
      <c r="AD55" s="131"/>
      <c r="AE55" s="132">
        <f t="shared" si="9"/>
        <v>8178000</v>
      </c>
      <c r="AF55" s="133">
        <f t="shared" si="6"/>
        <v>6975000</v>
      </c>
    </row>
    <row r="56" spans="1:32" s="1" customFormat="1" ht="13.5" thickBot="1">
      <c r="A56" s="206" t="s">
        <v>206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8"/>
      <c r="AD56" s="169"/>
      <c r="AE56" s="201">
        <f>SUM(AE47:AE55)</f>
        <v>45896582</v>
      </c>
    </row>
    <row r="57" spans="1:32" s="1" customFormat="1" ht="12.75">
      <c r="A57" s="35">
        <v>43</v>
      </c>
      <c r="B57" s="247" t="s">
        <v>154</v>
      </c>
      <c r="C57" s="250" t="s">
        <v>155</v>
      </c>
      <c r="D57" s="36" t="s">
        <v>156</v>
      </c>
      <c r="E57" s="6" t="s">
        <v>96</v>
      </c>
      <c r="F57" s="6" t="s">
        <v>97</v>
      </c>
      <c r="G57" s="6" t="s">
        <v>98</v>
      </c>
      <c r="H57" s="37" t="s">
        <v>99</v>
      </c>
      <c r="I57" s="38"/>
      <c r="J57" s="39">
        <v>700</v>
      </c>
      <c r="K57" s="157">
        <v>4580</v>
      </c>
      <c r="L57" s="157">
        <v>2375</v>
      </c>
      <c r="M57" s="157">
        <v>1050</v>
      </c>
      <c r="N57" s="157">
        <v>614</v>
      </c>
      <c r="O57" s="157">
        <v>399</v>
      </c>
      <c r="P57" s="157">
        <v>293</v>
      </c>
      <c r="Q57" s="158">
        <v>245</v>
      </c>
      <c r="R57" s="159">
        <v>1050</v>
      </c>
      <c r="S57" s="160">
        <f t="shared" si="4"/>
        <v>735000</v>
      </c>
      <c r="T57" s="161">
        <f>1019*1.16</f>
        <v>1182.04</v>
      </c>
      <c r="U57" s="162">
        <f t="shared" si="5"/>
        <v>827428</v>
      </c>
      <c r="V57" s="180">
        <v>912</v>
      </c>
      <c r="W57" s="181">
        <f t="shared" si="0"/>
        <v>638400</v>
      </c>
      <c r="X57" s="165">
        <v>470</v>
      </c>
      <c r="Y57" s="165">
        <f t="shared" si="1"/>
        <v>329000</v>
      </c>
      <c r="Z57" s="166">
        <v>1100</v>
      </c>
      <c r="AA57" s="166">
        <f t="shared" si="2"/>
        <v>770000</v>
      </c>
      <c r="AB57" s="167">
        <v>500</v>
      </c>
      <c r="AC57" s="168">
        <f>AB57*J57*1.16</f>
        <v>406000</v>
      </c>
      <c r="AD57" s="115"/>
      <c r="AE57" s="170">
        <f>AVERAGE(S57,U57,W57,Y57,AA57,AC57)</f>
        <v>617638</v>
      </c>
      <c r="AF57" s="171">
        <f t="shared" ref="AF57:AF73" si="10">MIN(S57,U57,W57,Y57,AA57,AC57)</f>
        <v>329000</v>
      </c>
    </row>
    <row r="58" spans="1:32" s="1" customFormat="1" ht="12.75">
      <c r="A58" s="40">
        <v>44</v>
      </c>
      <c r="B58" s="248"/>
      <c r="C58" s="251"/>
      <c r="D58" s="41" t="s">
        <v>157</v>
      </c>
      <c r="E58" s="10" t="s">
        <v>158</v>
      </c>
      <c r="F58" s="10" t="s">
        <v>89</v>
      </c>
      <c r="G58" s="10"/>
      <c r="H58" s="42"/>
      <c r="I58" s="43"/>
      <c r="J58" s="44">
        <v>14000</v>
      </c>
      <c r="K58" s="12"/>
      <c r="L58" s="12"/>
      <c r="M58" s="12"/>
      <c r="N58" s="12"/>
      <c r="O58" s="12"/>
      <c r="P58" s="12"/>
      <c r="Q58" s="85">
        <v>642</v>
      </c>
      <c r="R58" s="117">
        <v>642</v>
      </c>
      <c r="S58" s="90">
        <f t="shared" si="4"/>
        <v>8988000</v>
      </c>
      <c r="T58" s="92">
        <f>1158*1.16</f>
        <v>1343.28</v>
      </c>
      <c r="U58" s="93">
        <f t="shared" si="5"/>
        <v>18805920</v>
      </c>
      <c r="V58" s="95">
        <v>0</v>
      </c>
      <c r="W58" s="91"/>
      <c r="X58" s="96">
        <v>820</v>
      </c>
      <c r="Y58" s="96">
        <f t="shared" si="1"/>
        <v>11480000</v>
      </c>
      <c r="Z58" s="97">
        <v>1150</v>
      </c>
      <c r="AA58" s="97">
        <f t="shared" si="2"/>
        <v>16100000</v>
      </c>
      <c r="AB58" s="98">
        <v>456</v>
      </c>
      <c r="AC58" s="99">
        <f t="shared" ref="AC58:AC78" si="11">AB58*J58*1.16</f>
        <v>7405439.9999999991</v>
      </c>
      <c r="AD58" s="115"/>
      <c r="AE58" s="100">
        <f>AVERAGE(S58,U58,W58,Y58,AA58,AC58)</f>
        <v>12555872</v>
      </c>
      <c r="AF58" s="118">
        <f t="shared" si="10"/>
        <v>7405439.9999999991</v>
      </c>
    </row>
    <row r="59" spans="1:32" s="1" customFormat="1" ht="51">
      <c r="A59" s="40">
        <v>45</v>
      </c>
      <c r="B59" s="248"/>
      <c r="C59" s="251"/>
      <c r="D59" s="41" t="s">
        <v>159</v>
      </c>
      <c r="E59" s="13" t="s">
        <v>160</v>
      </c>
      <c r="F59" s="45" t="s">
        <v>161</v>
      </c>
      <c r="G59" s="45" t="s">
        <v>162</v>
      </c>
      <c r="H59" s="42" t="s">
        <v>163</v>
      </c>
      <c r="I59" s="23"/>
      <c r="J59" s="44">
        <v>14500</v>
      </c>
      <c r="K59" s="12">
        <v>29990</v>
      </c>
      <c r="L59" s="12">
        <v>14066</v>
      </c>
      <c r="M59" s="12">
        <v>6693</v>
      </c>
      <c r="N59" s="12">
        <v>3970</v>
      </c>
      <c r="O59" s="12">
        <v>2660</v>
      </c>
      <c r="P59" s="12">
        <v>2014</v>
      </c>
      <c r="Q59" s="85">
        <v>1700</v>
      </c>
      <c r="R59" s="117">
        <v>1700</v>
      </c>
      <c r="S59" s="90">
        <f t="shared" si="4"/>
        <v>24650000</v>
      </c>
      <c r="T59" s="92">
        <f>1696*1.16</f>
        <v>1967.36</v>
      </c>
      <c r="U59" s="93">
        <f t="shared" si="5"/>
        <v>28526720</v>
      </c>
      <c r="V59" s="95">
        <v>2039</v>
      </c>
      <c r="W59" s="91">
        <f t="shared" si="0"/>
        <v>29565500</v>
      </c>
      <c r="X59" s="96">
        <v>1495</v>
      </c>
      <c r="Y59" s="96">
        <f t="shared" si="1"/>
        <v>21677500</v>
      </c>
      <c r="Z59" s="97">
        <v>3000</v>
      </c>
      <c r="AA59" s="97">
        <f t="shared" si="2"/>
        <v>43500000</v>
      </c>
      <c r="AB59" s="98">
        <v>1586</v>
      </c>
      <c r="AC59" s="99">
        <f>AB59*J59</f>
        <v>22997000</v>
      </c>
      <c r="AD59" s="115"/>
      <c r="AE59" s="100">
        <f>AVERAGE(S59,U59,W59,Y59,AC59)</f>
        <v>25483344</v>
      </c>
      <c r="AF59" s="118">
        <f t="shared" si="10"/>
        <v>21677500</v>
      </c>
    </row>
    <row r="60" spans="1:32" s="1" customFormat="1" ht="51">
      <c r="A60" s="40">
        <v>46</v>
      </c>
      <c r="B60" s="248"/>
      <c r="C60" s="251"/>
      <c r="D60" s="41" t="s">
        <v>164</v>
      </c>
      <c r="E60" s="46" t="s">
        <v>88</v>
      </c>
      <c r="F60" s="13" t="s">
        <v>165</v>
      </c>
      <c r="G60" s="13" t="s">
        <v>166</v>
      </c>
      <c r="H60" s="47" t="s">
        <v>167</v>
      </c>
      <c r="I60" s="23"/>
      <c r="J60" s="44">
        <v>350</v>
      </c>
      <c r="K60" s="12">
        <v>2345</v>
      </c>
      <c r="L60" s="12">
        <v>2124</v>
      </c>
      <c r="M60" s="12">
        <v>1753</v>
      </c>
      <c r="N60" s="12">
        <v>1480</v>
      </c>
      <c r="O60" s="12">
        <v>1342</v>
      </c>
      <c r="P60" s="12">
        <v>1278</v>
      </c>
      <c r="Q60" s="85">
        <v>1255</v>
      </c>
      <c r="R60" s="117">
        <v>2124</v>
      </c>
      <c r="S60" s="90">
        <f t="shared" si="4"/>
        <v>743400</v>
      </c>
      <c r="T60" s="92">
        <f>2762*1.16</f>
        <v>3203.9199999999996</v>
      </c>
      <c r="U60" s="93">
        <f t="shared" si="5"/>
        <v>1121371.9999999998</v>
      </c>
      <c r="V60" s="112">
        <v>0</v>
      </c>
      <c r="W60" s="110"/>
      <c r="X60" s="96">
        <v>794</v>
      </c>
      <c r="Y60" s="96">
        <f t="shared" si="1"/>
        <v>277900</v>
      </c>
      <c r="Z60" s="97">
        <v>2600</v>
      </c>
      <c r="AA60" s="97">
        <f t="shared" si="2"/>
        <v>910000</v>
      </c>
      <c r="AB60" s="98">
        <v>1200</v>
      </c>
      <c r="AC60" s="99">
        <f t="shared" si="11"/>
        <v>487199.99999999994</v>
      </c>
      <c r="AD60" s="115"/>
      <c r="AE60" s="100">
        <f t="shared" ref="AE60:AE65" si="12">AVERAGE(S60,U60,W60,Y60,AA60,AC60)</f>
        <v>707974.4</v>
      </c>
      <c r="AF60" s="118">
        <f t="shared" si="10"/>
        <v>277900</v>
      </c>
    </row>
    <row r="61" spans="1:32" s="1" customFormat="1" ht="51">
      <c r="A61" s="40">
        <v>47</v>
      </c>
      <c r="B61" s="248"/>
      <c r="C61" s="251"/>
      <c r="D61" s="41" t="s">
        <v>168</v>
      </c>
      <c r="E61" s="46" t="s">
        <v>88</v>
      </c>
      <c r="F61" s="13" t="s">
        <v>169</v>
      </c>
      <c r="G61" s="13" t="s">
        <v>166</v>
      </c>
      <c r="H61" s="47" t="s">
        <v>167</v>
      </c>
      <c r="I61" s="23"/>
      <c r="J61" s="44">
        <v>13800</v>
      </c>
      <c r="K61" s="12">
        <v>2345</v>
      </c>
      <c r="L61" s="12">
        <v>2124</v>
      </c>
      <c r="M61" s="12">
        <v>1753</v>
      </c>
      <c r="N61" s="12">
        <v>1480</v>
      </c>
      <c r="O61" s="12">
        <v>1342</v>
      </c>
      <c r="P61" s="12">
        <v>1278</v>
      </c>
      <c r="Q61" s="85">
        <v>1255</v>
      </c>
      <c r="R61" s="117">
        <v>1255</v>
      </c>
      <c r="S61" s="90">
        <f t="shared" si="4"/>
        <v>17319000</v>
      </c>
      <c r="T61" s="92">
        <f>500*1.16</f>
        <v>580</v>
      </c>
      <c r="U61" s="93">
        <f t="shared" si="5"/>
        <v>8004000</v>
      </c>
      <c r="V61" s="112">
        <v>0</v>
      </c>
      <c r="W61" s="110"/>
      <c r="X61" s="96">
        <v>648</v>
      </c>
      <c r="Y61" s="96">
        <f t="shared" si="1"/>
        <v>8942400</v>
      </c>
      <c r="Z61" s="97">
        <v>250</v>
      </c>
      <c r="AA61" s="97">
        <f t="shared" si="2"/>
        <v>3450000</v>
      </c>
      <c r="AB61" s="98">
        <v>442</v>
      </c>
      <c r="AC61" s="99">
        <f t="shared" si="11"/>
        <v>7075535.9999999991</v>
      </c>
      <c r="AD61" s="115"/>
      <c r="AE61" s="100">
        <f t="shared" si="12"/>
        <v>8958187.1999999993</v>
      </c>
      <c r="AF61" s="118">
        <f t="shared" si="10"/>
        <v>3450000</v>
      </c>
    </row>
    <row r="62" spans="1:32" s="1" customFormat="1" ht="20.25" customHeight="1" thickBot="1">
      <c r="A62" s="40">
        <v>48</v>
      </c>
      <c r="B62" s="248"/>
      <c r="C62" s="252"/>
      <c r="D62" s="48" t="s">
        <v>170</v>
      </c>
      <c r="E62" s="49" t="s">
        <v>171</v>
      </c>
      <c r="F62" s="49" t="s">
        <v>89</v>
      </c>
      <c r="G62" s="50" t="s">
        <v>172</v>
      </c>
      <c r="H62" s="50" t="s">
        <v>111</v>
      </c>
      <c r="I62" s="51"/>
      <c r="J62" s="52">
        <v>14500</v>
      </c>
      <c r="K62" s="12">
        <v>3464</v>
      </c>
      <c r="L62" s="12">
        <v>1105</v>
      </c>
      <c r="M62" s="12">
        <v>600</v>
      </c>
      <c r="N62" s="12">
        <v>372</v>
      </c>
      <c r="O62" s="12">
        <v>201</v>
      </c>
      <c r="P62" s="12">
        <v>120</v>
      </c>
      <c r="Q62" s="85">
        <v>79</v>
      </c>
      <c r="R62" s="117">
        <v>79</v>
      </c>
      <c r="S62" s="90">
        <f t="shared" si="4"/>
        <v>1145500</v>
      </c>
      <c r="T62" s="110">
        <v>0</v>
      </c>
      <c r="U62" s="111"/>
      <c r="V62" s="95">
        <v>87</v>
      </c>
      <c r="W62" s="91">
        <f t="shared" si="0"/>
        <v>1261500</v>
      </c>
      <c r="X62" s="96">
        <v>68</v>
      </c>
      <c r="Y62" s="96">
        <f t="shared" si="1"/>
        <v>986000</v>
      </c>
      <c r="Z62" s="97">
        <v>90</v>
      </c>
      <c r="AA62" s="97">
        <f t="shared" si="2"/>
        <v>1305000</v>
      </c>
      <c r="AB62" s="98">
        <v>69</v>
      </c>
      <c r="AC62" s="99">
        <f t="shared" si="11"/>
        <v>1160580</v>
      </c>
      <c r="AD62" s="115"/>
      <c r="AE62" s="100">
        <f t="shared" si="12"/>
        <v>1171716</v>
      </c>
      <c r="AF62" s="118">
        <f t="shared" si="10"/>
        <v>986000</v>
      </c>
    </row>
    <row r="63" spans="1:32" s="1" customFormat="1" ht="13.5" customHeight="1">
      <c r="A63" s="40">
        <v>49</v>
      </c>
      <c r="B63" s="248"/>
      <c r="C63" s="253" t="s">
        <v>173</v>
      </c>
      <c r="D63" s="53" t="s">
        <v>156</v>
      </c>
      <c r="E63" s="10" t="s">
        <v>96</v>
      </c>
      <c r="F63" s="10" t="s">
        <v>97</v>
      </c>
      <c r="G63" s="10" t="s">
        <v>98</v>
      </c>
      <c r="H63" s="42" t="s">
        <v>99</v>
      </c>
      <c r="I63" s="23"/>
      <c r="J63" s="44">
        <v>200</v>
      </c>
      <c r="K63" s="12">
        <v>4580</v>
      </c>
      <c r="L63" s="12">
        <v>2375</v>
      </c>
      <c r="M63" s="12">
        <v>1050</v>
      </c>
      <c r="N63" s="12">
        <v>614</v>
      </c>
      <c r="O63" s="12">
        <v>399</v>
      </c>
      <c r="P63" s="12">
        <v>293</v>
      </c>
      <c r="Q63" s="85">
        <v>245</v>
      </c>
      <c r="R63" s="117">
        <v>4580</v>
      </c>
      <c r="S63" s="90">
        <f t="shared" si="4"/>
        <v>916000</v>
      </c>
      <c r="T63" s="92">
        <f>3357*1.16</f>
        <v>3894.12</v>
      </c>
      <c r="U63" s="93">
        <f t="shared" si="5"/>
        <v>778824</v>
      </c>
      <c r="V63" s="95">
        <v>3715</v>
      </c>
      <c r="W63" s="91">
        <f t="shared" si="0"/>
        <v>743000</v>
      </c>
      <c r="X63" s="96">
        <v>931</v>
      </c>
      <c r="Y63" s="96">
        <f t="shared" si="1"/>
        <v>186200</v>
      </c>
      <c r="Z63" s="97">
        <v>420000</v>
      </c>
      <c r="AA63" s="97">
        <f t="shared" si="2"/>
        <v>84000000</v>
      </c>
      <c r="AB63" s="98">
        <v>1400</v>
      </c>
      <c r="AC63" s="99">
        <f t="shared" si="11"/>
        <v>324800</v>
      </c>
      <c r="AD63" s="115"/>
      <c r="AE63" s="100">
        <f t="shared" si="12"/>
        <v>14491470.666666666</v>
      </c>
      <c r="AF63" s="118">
        <f t="shared" si="10"/>
        <v>186200</v>
      </c>
    </row>
    <row r="64" spans="1:32" s="1" customFormat="1" ht="12.75">
      <c r="A64" s="40">
        <v>50</v>
      </c>
      <c r="B64" s="248"/>
      <c r="C64" s="254"/>
      <c r="D64" s="78" t="s">
        <v>174</v>
      </c>
      <c r="E64" s="68" t="s">
        <v>158</v>
      </c>
      <c r="F64" s="68" t="s">
        <v>89</v>
      </c>
      <c r="G64" s="68"/>
      <c r="H64" s="79"/>
      <c r="I64" s="77"/>
      <c r="J64" s="80">
        <v>5000</v>
      </c>
      <c r="K64" s="70"/>
      <c r="L64" s="70"/>
      <c r="M64" s="70"/>
      <c r="N64" s="70"/>
      <c r="O64" s="70"/>
      <c r="P64" s="70"/>
      <c r="Q64" s="86"/>
      <c r="R64" s="119">
        <v>0</v>
      </c>
      <c r="S64" s="110"/>
      <c r="T64" s="92">
        <f>753*1.16</f>
        <v>873.4799999999999</v>
      </c>
      <c r="U64" s="93">
        <f t="shared" si="5"/>
        <v>4367399.9999999991</v>
      </c>
      <c r="V64" s="112">
        <v>0</v>
      </c>
      <c r="W64" s="110"/>
      <c r="X64" s="96">
        <v>600</v>
      </c>
      <c r="Y64" s="96">
        <f t="shared" si="1"/>
        <v>3000000</v>
      </c>
      <c r="Z64" s="97">
        <v>1200</v>
      </c>
      <c r="AA64" s="97">
        <f t="shared" si="2"/>
        <v>6000000</v>
      </c>
      <c r="AB64" s="98">
        <v>540</v>
      </c>
      <c r="AC64" s="99">
        <f t="shared" si="11"/>
        <v>3132000</v>
      </c>
      <c r="AD64" s="115"/>
      <c r="AE64" s="100">
        <f t="shared" si="12"/>
        <v>4124850</v>
      </c>
      <c r="AF64" s="118">
        <f t="shared" si="10"/>
        <v>3000000</v>
      </c>
    </row>
    <row r="65" spans="1:33" s="1" customFormat="1" ht="51">
      <c r="A65" s="40">
        <v>51</v>
      </c>
      <c r="B65" s="248"/>
      <c r="C65" s="254"/>
      <c r="D65" s="53" t="s">
        <v>175</v>
      </c>
      <c r="E65" s="13" t="s">
        <v>160</v>
      </c>
      <c r="F65" s="45" t="s">
        <v>161</v>
      </c>
      <c r="G65" s="45" t="s">
        <v>162</v>
      </c>
      <c r="H65" s="42" t="s">
        <v>163</v>
      </c>
      <c r="I65" s="23"/>
      <c r="J65" s="44">
        <v>5500</v>
      </c>
      <c r="K65" s="12">
        <v>29990</v>
      </c>
      <c r="L65" s="12">
        <v>14066</v>
      </c>
      <c r="M65" s="12">
        <v>6693</v>
      </c>
      <c r="N65" s="12">
        <v>3970</v>
      </c>
      <c r="O65" s="12">
        <v>2660</v>
      </c>
      <c r="P65" s="12">
        <v>2014</v>
      </c>
      <c r="Q65" s="85">
        <v>1700</v>
      </c>
      <c r="R65" s="117">
        <v>2014</v>
      </c>
      <c r="S65" s="90">
        <f t="shared" si="4"/>
        <v>11077000</v>
      </c>
      <c r="T65" s="92">
        <f>2185*1.16</f>
        <v>2534.6</v>
      </c>
      <c r="U65" s="93">
        <f t="shared" si="5"/>
        <v>13940300</v>
      </c>
      <c r="V65" s="95">
        <v>2434</v>
      </c>
      <c r="W65" s="91">
        <f t="shared" si="0"/>
        <v>13387000</v>
      </c>
      <c r="X65" s="96">
        <v>1997</v>
      </c>
      <c r="Y65" s="96">
        <f t="shared" si="1"/>
        <v>10983500</v>
      </c>
      <c r="Z65" s="97">
        <v>3200</v>
      </c>
      <c r="AA65" s="97">
        <f t="shared" si="2"/>
        <v>17600000</v>
      </c>
      <c r="AB65" s="98">
        <v>1822</v>
      </c>
      <c r="AC65" s="99">
        <f>AB65*J65</f>
        <v>10021000</v>
      </c>
      <c r="AD65" s="115"/>
      <c r="AE65" s="100">
        <f t="shared" si="12"/>
        <v>12834800</v>
      </c>
      <c r="AF65" s="118">
        <f t="shared" si="10"/>
        <v>10021000</v>
      </c>
    </row>
    <row r="66" spans="1:33" s="1" customFormat="1" ht="51">
      <c r="A66" s="40">
        <v>52</v>
      </c>
      <c r="B66" s="248"/>
      <c r="C66" s="254"/>
      <c r="D66" s="53" t="s">
        <v>164</v>
      </c>
      <c r="E66" s="46" t="s">
        <v>88</v>
      </c>
      <c r="F66" s="13" t="s">
        <v>165</v>
      </c>
      <c r="G66" s="13" t="s">
        <v>166</v>
      </c>
      <c r="H66" s="47" t="s">
        <v>167</v>
      </c>
      <c r="I66" s="23"/>
      <c r="J66" s="44">
        <v>100</v>
      </c>
      <c r="K66" s="12">
        <v>2345</v>
      </c>
      <c r="L66" s="12">
        <v>2124</v>
      </c>
      <c r="M66" s="12">
        <v>1753</v>
      </c>
      <c r="N66" s="12">
        <v>1480</v>
      </c>
      <c r="O66" s="12">
        <v>1342</v>
      </c>
      <c r="P66" s="12">
        <v>1278</v>
      </c>
      <c r="Q66" s="85">
        <v>1255</v>
      </c>
      <c r="R66" s="117">
        <v>2345</v>
      </c>
      <c r="S66" s="90">
        <f t="shared" si="4"/>
        <v>234500</v>
      </c>
      <c r="T66" s="92">
        <f>6559*1.16</f>
        <v>7608.44</v>
      </c>
      <c r="U66" s="93">
        <f t="shared" si="5"/>
        <v>760844</v>
      </c>
      <c r="V66" s="112">
        <v>0</v>
      </c>
      <c r="W66" s="110"/>
      <c r="X66" s="96">
        <v>846</v>
      </c>
      <c r="Y66" s="96">
        <f t="shared" si="1"/>
        <v>84600</v>
      </c>
      <c r="Z66" s="97">
        <v>470000</v>
      </c>
      <c r="AA66" s="97">
        <f t="shared" si="2"/>
        <v>47000000</v>
      </c>
      <c r="AB66" s="98">
        <v>1560</v>
      </c>
      <c r="AC66" s="99">
        <f t="shared" si="11"/>
        <v>180960</v>
      </c>
      <c r="AD66" s="115"/>
      <c r="AE66" s="100">
        <f>AVERAGE(S66,U66,W66,AC66)</f>
        <v>392101.33333333331</v>
      </c>
      <c r="AF66" s="118">
        <f t="shared" si="10"/>
        <v>84600</v>
      </c>
    </row>
    <row r="67" spans="1:33" s="1" customFormat="1" ht="15" customHeight="1">
      <c r="A67" s="40">
        <v>53</v>
      </c>
      <c r="B67" s="248"/>
      <c r="C67" s="254"/>
      <c r="D67" s="53" t="s">
        <v>168</v>
      </c>
      <c r="E67" s="46" t="s">
        <v>88</v>
      </c>
      <c r="F67" s="13" t="s">
        <v>169</v>
      </c>
      <c r="G67" s="13" t="s">
        <v>166</v>
      </c>
      <c r="H67" s="47" t="s">
        <v>167</v>
      </c>
      <c r="I67" s="23"/>
      <c r="J67" s="44">
        <v>5000</v>
      </c>
      <c r="K67" s="12">
        <v>2345</v>
      </c>
      <c r="L67" s="12">
        <v>2124</v>
      </c>
      <c r="M67" s="12">
        <v>1753</v>
      </c>
      <c r="N67" s="12">
        <v>1480</v>
      </c>
      <c r="O67" s="12">
        <v>1342</v>
      </c>
      <c r="P67" s="12">
        <v>1278</v>
      </c>
      <c r="Q67" s="85">
        <v>1255</v>
      </c>
      <c r="R67" s="117">
        <v>1278</v>
      </c>
      <c r="S67" s="90">
        <f t="shared" si="4"/>
        <v>6390000</v>
      </c>
      <c r="T67" s="92">
        <f>758*1.16</f>
        <v>879.28</v>
      </c>
      <c r="U67" s="93">
        <f t="shared" si="5"/>
        <v>4396400</v>
      </c>
      <c r="V67" s="112">
        <v>0</v>
      </c>
      <c r="W67" s="110"/>
      <c r="X67" s="96">
        <v>690</v>
      </c>
      <c r="Y67" s="96">
        <f t="shared" si="1"/>
        <v>3450000</v>
      </c>
      <c r="Z67" s="97">
        <v>270</v>
      </c>
      <c r="AA67" s="97">
        <f t="shared" si="2"/>
        <v>1350000</v>
      </c>
      <c r="AB67" s="98">
        <v>551</v>
      </c>
      <c r="AC67" s="99">
        <f t="shared" si="11"/>
        <v>3195800</v>
      </c>
      <c r="AD67" s="115"/>
      <c r="AE67" s="100">
        <f>AVERAGE(S67,U67,W67,Y67,AA67,AC67)</f>
        <v>3756440</v>
      </c>
      <c r="AF67" s="118">
        <f t="shared" si="10"/>
        <v>1350000</v>
      </c>
    </row>
    <row r="68" spans="1:33" s="1" customFormat="1" ht="15" customHeight="1" thickBot="1">
      <c r="A68" s="40">
        <v>54</v>
      </c>
      <c r="B68" s="248"/>
      <c r="C68" s="255"/>
      <c r="D68" s="54" t="s">
        <v>170</v>
      </c>
      <c r="E68" s="49" t="s">
        <v>171</v>
      </c>
      <c r="F68" s="49" t="s">
        <v>89</v>
      </c>
      <c r="G68" s="50" t="s">
        <v>172</v>
      </c>
      <c r="H68" s="50" t="s">
        <v>111</v>
      </c>
      <c r="I68" s="55"/>
      <c r="J68" s="52">
        <v>5500</v>
      </c>
      <c r="K68" s="12">
        <v>3464</v>
      </c>
      <c r="L68" s="12">
        <v>1105</v>
      </c>
      <c r="M68" s="12">
        <v>600</v>
      </c>
      <c r="N68" s="12">
        <v>372</v>
      </c>
      <c r="O68" s="12">
        <v>201</v>
      </c>
      <c r="P68" s="12">
        <v>120</v>
      </c>
      <c r="Q68" s="85">
        <v>79</v>
      </c>
      <c r="R68" s="117">
        <v>120</v>
      </c>
      <c r="S68" s="90">
        <f t="shared" si="4"/>
        <v>660000</v>
      </c>
      <c r="T68" s="92">
        <f>185*1.16</f>
        <v>214.6</v>
      </c>
      <c r="U68" s="93">
        <f t="shared" si="5"/>
        <v>1180300</v>
      </c>
      <c r="V68" s="95">
        <v>130</v>
      </c>
      <c r="W68" s="91">
        <f t="shared" si="0"/>
        <v>715000</v>
      </c>
      <c r="X68" s="96">
        <v>91</v>
      </c>
      <c r="Y68" s="96">
        <f t="shared" si="1"/>
        <v>500500</v>
      </c>
      <c r="Z68" s="97">
        <v>120</v>
      </c>
      <c r="AA68" s="97">
        <f t="shared" si="2"/>
        <v>660000</v>
      </c>
      <c r="AB68" s="98">
        <v>85</v>
      </c>
      <c r="AC68" s="99">
        <f t="shared" si="11"/>
        <v>542300</v>
      </c>
      <c r="AD68" s="115"/>
      <c r="AE68" s="100">
        <f>AVERAGE(S68,U68,W68,Y68,AA68,AC68)</f>
        <v>709683.33333333337</v>
      </c>
      <c r="AF68" s="118">
        <f t="shared" si="10"/>
        <v>500500</v>
      </c>
    </row>
    <row r="69" spans="1:33" s="1" customFormat="1" ht="12.75">
      <c r="A69" s="40">
        <v>55</v>
      </c>
      <c r="B69" s="248"/>
      <c r="C69" s="253" t="s">
        <v>176</v>
      </c>
      <c r="D69" s="53" t="s">
        <v>156</v>
      </c>
      <c r="E69" s="10" t="s">
        <v>96</v>
      </c>
      <c r="F69" s="10" t="s">
        <v>97</v>
      </c>
      <c r="G69" s="10" t="s">
        <v>98</v>
      </c>
      <c r="H69" s="13" t="s">
        <v>99</v>
      </c>
      <c r="I69" s="56"/>
      <c r="J69" s="44">
        <v>150</v>
      </c>
      <c r="K69" s="12">
        <v>4580</v>
      </c>
      <c r="L69" s="12">
        <v>2375</v>
      </c>
      <c r="M69" s="12">
        <v>1050</v>
      </c>
      <c r="N69" s="12">
        <v>614</v>
      </c>
      <c r="O69" s="12">
        <v>399</v>
      </c>
      <c r="P69" s="12">
        <v>293</v>
      </c>
      <c r="Q69" s="85"/>
      <c r="R69" s="117">
        <v>4580</v>
      </c>
      <c r="S69" s="90">
        <f t="shared" si="4"/>
        <v>687000</v>
      </c>
      <c r="T69" s="92">
        <f>3945*1.16</f>
        <v>4576.2</v>
      </c>
      <c r="U69" s="93">
        <f t="shared" si="5"/>
        <v>686430</v>
      </c>
      <c r="V69" s="95">
        <v>3715</v>
      </c>
      <c r="W69" s="91">
        <f t="shared" si="0"/>
        <v>557250</v>
      </c>
      <c r="X69" s="96">
        <v>1702</v>
      </c>
      <c r="Y69" s="96">
        <f t="shared" si="1"/>
        <v>255300</v>
      </c>
      <c r="Z69" s="97">
        <v>420000</v>
      </c>
      <c r="AA69" s="97">
        <f t="shared" si="2"/>
        <v>63000000</v>
      </c>
      <c r="AB69" s="98">
        <v>1800</v>
      </c>
      <c r="AC69" s="99">
        <f t="shared" si="11"/>
        <v>313200</v>
      </c>
      <c r="AD69" s="115"/>
      <c r="AE69" s="100">
        <f>AVERAGE(S69,U69,W69,Y69,AC69)</f>
        <v>499836</v>
      </c>
      <c r="AF69" s="118">
        <f t="shared" si="10"/>
        <v>255300</v>
      </c>
    </row>
    <row r="70" spans="1:33" s="1" customFormat="1" ht="51">
      <c r="A70" s="40">
        <v>56</v>
      </c>
      <c r="B70" s="248"/>
      <c r="C70" s="254"/>
      <c r="D70" s="53" t="s">
        <v>177</v>
      </c>
      <c r="E70" s="13" t="s">
        <v>160</v>
      </c>
      <c r="F70" s="45" t="s">
        <v>161</v>
      </c>
      <c r="G70" s="45" t="s">
        <v>162</v>
      </c>
      <c r="H70" s="13" t="s">
        <v>163</v>
      </c>
      <c r="I70" s="13"/>
      <c r="J70" s="44">
        <v>4000</v>
      </c>
      <c r="K70" s="12">
        <v>29990</v>
      </c>
      <c r="L70" s="12">
        <v>14066</v>
      </c>
      <c r="M70" s="12">
        <v>6693</v>
      </c>
      <c r="N70" s="12">
        <v>3970</v>
      </c>
      <c r="O70" s="12">
        <v>2660</v>
      </c>
      <c r="P70" s="12">
        <v>2014</v>
      </c>
      <c r="Q70" s="85"/>
      <c r="R70" s="117">
        <v>2660</v>
      </c>
      <c r="S70" s="90">
        <f t="shared" si="4"/>
        <v>10640000</v>
      </c>
      <c r="T70" s="92">
        <f>2439*1.16</f>
        <v>2829.24</v>
      </c>
      <c r="U70" s="93">
        <f t="shared" si="5"/>
        <v>11316960</v>
      </c>
      <c r="V70" s="95">
        <v>3130</v>
      </c>
      <c r="W70" s="91">
        <f t="shared" si="0"/>
        <v>12520000</v>
      </c>
      <c r="X70" s="96">
        <v>1997</v>
      </c>
      <c r="Y70" s="96">
        <f t="shared" si="1"/>
        <v>7988000</v>
      </c>
      <c r="Z70" s="97">
        <v>4000</v>
      </c>
      <c r="AA70" s="97">
        <f t="shared" si="2"/>
        <v>16000000</v>
      </c>
      <c r="AB70" s="98">
        <v>1925</v>
      </c>
      <c r="AC70" s="99">
        <f>AB70*J70</f>
        <v>7700000</v>
      </c>
      <c r="AD70" s="115"/>
      <c r="AE70" s="100">
        <f>AVERAGE(S70,U70,W70,Y70,AC70)</f>
        <v>10032992</v>
      </c>
      <c r="AF70" s="118">
        <f t="shared" si="10"/>
        <v>7700000</v>
      </c>
    </row>
    <row r="71" spans="1:33" s="1" customFormat="1" ht="51">
      <c r="A71" s="40">
        <v>57</v>
      </c>
      <c r="B71" s="248"/>
      <c r="C71" s="254"/>
      <c r="D71" s="53" t="s">
        <v>164</v>
      </c>
      <c r="E71" s="46" t="s">
        <v>88</v>
      </c>
      <c r="F71" s="13" t="s">
        <v>165</v>
      </c>
      <c r="G71" s="13" t="s">
        <v>166</v>
      </c>
      <c r="H71" s="13" t="s">
        <v>167</v>
      </c>
      <c r="I71" s="13"/>
      <c r="J71" s="44">
        <v>80</v>
      </c>
      <c r="K71" s="12">
        <v>2345</v>
      </c>
      <c r="L71" s="12">
        <v>2124</v>
      </c>
      <c r="M71" s="12">
        <v>1753</v>
      </c>
      <c r="N71" s="12">
        <v>1480</v>
      </c>
      <c r="O71" s="12">
        <v>1342</v>
      </c>
      <c r="P71" s="12">
        <v>1278</v>
      </c>
      <c r="Q71" s="85"/>
      <c r="R71" s="117">
        <v>2345</v>
      </c>
      <c r="S71" s="90">
        <f t="shared" si="4"/>
        <v>187600</v>
      </c>
      <c r="T71" s="92">
        <f>7898*1.16</f>
        <v>9161.6799999999985</v>
      </c>
      <c r="U71" s="93">
        <f t="shared" si="5"/>
        <v>732934.39999999991</v>
      </c>
      <c r="V71" s="112">
        <v>0</v>
      </c>
      <c r="W71" s="110"/>
      <c r="X71" s="96">
        <v>846</v>
      </c>
      <c r="Y71" s="96">
        <f t="shared" si="1"/>
        <v>67680</v>
      </c>
      <c r="Z71" s="97">
        <v>470000</v>
      </c>
      <c r="AA71" s="97">
        <f t="shared" si="2"/>
        <v>37600000</v>
      </c>
      <c r="AB71" s="98">
        <v>1680</v>
      </c>
      <c r="AC71" s="99">
        <f t="shared" si="11"/>
        <v>155904</v>
      </c>
      <c r="AD71" s="115"/>
      <c r="AE71" s="100">
        <f>AVERAGE(S71,U71,W71,AC71)</f>
        <v>358812.8</v>
      </c>
      <c r="AF71" s="118">
        <f t="shared" si="10"/>
        <v>67680</v>
      </c>
    </row>
    <row r="72" spans="1:33" s="1" customFormat="1" ht="13.5" customHeight="1" thickBot="1">
      <c r="A72" s="40">
        <v>58</v>
      </c>
      <c r="B72" s="248"/>
      <c r="C72" s="254"/>
      <c r="D72" s="53" t="s">
        <v>168</v>
      </c>
      <c r="E72" s="46" t="s">
        <v>88</v>
      </c>
      <c r="F72" s="13" t="s">
        <v>169</v>
      </c>
      <c r="G72" s="13" t="s">
        <v>166</v>
      </c>
      <c r="H72" s="13" t="s">
        <v>167</v>
      </c>
      <c r="I72" s="13"/>
      <c r="J72" s="44">
        <v>3700</v>
      </c>
      <c r="K72" s="12">
        <v>2345</v>
      </c>
      <c r="L72" s="12">
        <v>2124</v>
      </c>
      <c r="M72" s="12">
        <v>1753</v>
      </c>
      <c r="N72" s="12">
        <v>1480</v>
      </c>
      <c r="O72" s="12">
        <v>1342</v>
      </c>
      <c r="P72" s="12">
        <v>1278</v>
      </c>
      <c r="Q72" s="85"/>
      <c r="R72" s="117">
        <v>1342</v>
      </c>
      <c r="S72" s="90">
        <f t="shared" si="4"/>
        <v>4965400</v>
      </c>
      <c r="T72" s="92">
        <f>985*1.16</f>
        <v>1142.5999999999999</v>
      </c>
      <c r="U72" s="93">
        <f t="shared" si="5"/>
        <v>4227620</v>
      </c>
      <c r="V72" s="95">
        <v>0</v>
      </c>
      <c r="W72" s="91"/>
      <c r="X72" s="96">
        <v>695</v>
      </c>
      <c r="Y72" s="96">
        <f t="shared" si="1"/>
        <v>2571500</v>
      </c>
      <c r="Z72" s="97">
        <v>360</v>
      </c>
      <c r="AA72" s="97">
        <f t="shared" si="2"/>
        <v>1332000</v>
      </c>
      <c r="AB72" s="98">
        <v>622</v>
      </c>
      <c r="AC72" s="99">
        <f t="shared" si="11"/>
        <v>2669624</v>
      </c>
      <c r="AD72" s="131"/>
      <c r="AE72" s="100">
        <f>AVERAGE(S72,U72,W72,Y72,AA72,AC72)</f>
        <v>3153228.8</v>
      </c>
      <c r="AF72" s="118">
        <f t="shared" si="10"/>
        <v>1332000</v>
      </c>
    </row>
    <row r="73" spans="1:33" s="1" customFormat="1" ht="13.5" thickBot="1">
      <c r="A73" s="188">
        <v>59</v>
      </c>
      <c r="B73" s="249"/>
      <c r="C73" s="255"/>
      <c r="D73" s="54" t="s">
        <v>170</v>
      </c>
      <c r="E73" s="49" t="s">
        <v>171</v>
      </c>
      <c r="F73" s="49" t="s">
        <v>89</v>
      </c>
      <c r="G73" s="50" t="s">
        <v>172</v>
      </c>
      <c r="H73" s="189" t="s">
        <v>111</v>
      </c>
      <c r="I73" s="189"/>
      <c r="J73" s="52">
        <v>4000</v>
      </c>
      <c r="K73" s="182">
        <v>3464</v>
      </c>
      <c r="L73" s="182">
        <v>1105</v>
      </c>
      <c r="M73" s="182">
        <v>600</v>
      </c>
      <c r="N73" s="182">
        <v>372</v>
      </c>
      <c r="O73" s="182">
        <v>201</v>
      </c>
      <c r="P73" s="182">
        <v>120</v>
      </c>
      <c r="Q73" s="183">
        <v>79</v>
      </c>
      <c r="R73" s="121">
        <v>201</v>
      </c>
      <c r="S73" s="122">
        <f t="shared" si="4"/>
        <v>804000</v>
      </c>
      <c r="T73" s="123">
        <f>226*1.16</f>
        <v>262.15999999999997</v>
      </c>
      <c r="U73" s="124">
        <f t="shared" si="5"/>
        <v>1048639.9999999998</v>
      </c>
      <c r="V73" s="125">
        <v>130</v>
      </c>
      <c r="W73" s="126">
        <f t="shared" si="0"/>
        <v>520000</v>
      </c>
      <c r="X73" s="127">
        <v>91</v>
      </c>
      <c r="Y73" s="127">
        <f t="shared" si="1"/>
        <v>364000</v>
      </c>
      <c r="Z73" s="128">
        <v>200</v>
      </c>
      <c r="AA73" s="128">
        <f t="shared" si="2"/>
        <v>800000</v>
      </c>
      <c r="AB73" s="129">
        <v>105</v>
      </c>
      <c r="AC73" s="130">
        <f t="shared" si="11"/>
        <v>487199.99999999994</v>
      </c>
      <c r="AD73" s="169"/>
      <c r="AE73" s="132">
        <f>AVERAGE(S73,U73,W73,Y73,AA73,AC73)</f>
        <v>670640</v>
      </c>
      <c r="AF73" s="133">
        <f t="shared" si="10"/>
        <v>364000</v>
      </c>
    </row>
    <row r="74" spans="1:33" s="1" customFormat="1" ht="27" customHeight="1" thickBot="1">
      <c r="A74" s="206" t="s">
        <v>207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8"/>
      <c r="AD74" s="115"/>
      <c r="AE74" s="202">
        <f>SUM(AE57:AE73)</f>
        <v>100519586.5333333</v>
      </c>
      <c r="AF74" s="171"/>
      <c r="AG74" s="204"/>
    </row>
    <row r="75" spans="1:33" s="1" customFormat="1" ht="63.75">
      <c r="A75" s="57">
        <v>59</v>
      </c>
      <c r="B75" s="234" t="s">
        <v>178</v>
      </c>
      <c r="C75" s="235"/>
      <c r="D75" s="58" t="s">
        <v>179</v>
      </c>
      <c r="E75" s="59" t="s">
        <v>180</v>
      </c>
      <c r="F75" s="59" t="s">
        <v>181</v>
      </c>
      <c r="G75" s="59" t="s">
        <v>98</v>
      </c>
      <c r="H75" s="18" t="s">
        <v>99</v>
      </c>
      <c r="I75" s="59"/>
      <c r="J75" s="197">
        <v>400</v>
      </c>
      <c r="K75" s="157">
        <v>560</v>
      </c>
      <c r="L75" s="157">
        <v>335</v>
      </c>
      <c r="M75" s="157"/>
      <c r="N75" s="157"/>
      <c r="O75" s="157"/>
      <c r="P75" s="157"/>
      <c r="Q75" s="158"/>
      <c r="R75" s="159">
        <v>335</v>
      </c>
      <c r="S75" s="160">
        <f t="shared" si="4"/>
        <v>134000</v>
      </c>
      <c r="T75" s="161">
        <f>2758*1.16</f>
        <v>3199.2799999999997</v>
      </c>
      <c r="U75" s="162">
        <f t="shared" si="5"/>
        <v>1279712</v>
      </c>
      <c r="V75" s="163">
        <v>0</v>
      </c>
      <c r="W75" s="164"/>
      <c r="X75" s="165">
        <v>605</v>
      </c>
      <c r="Y75" s="165">
        <f t="shared" si="1"/>
        <v>242000</v>
      </c>
      <c r="Z75" s="166">
        <v>1000</v>
      </c>
      <c r="AA75" s="166">
        <f t="shared" si="2"/>
        <v>400000</v>
      </c>
      <c r="AB75" s="167">
        <v>644</v>
      </c>
      <c r="AC75" s="168">
        <f t="shared" si="11"/>
        <v>298816</v>
      </c>
      <c r="AD75" s="115"/>
      <c r="AE75" s="170">
        <f>AVERAGE(S75,W75,Y75,AA75,AC75)</f>
        <v>268704</v>
      </c>
      <c r="AF75" s="171">
        <f>MIN(S75,U75,W75,Y75,AA75,AC75)</f>
        <v>134000</v>
      </c>
    </row>
    <row r="76" spans="1:33" s="1" customFormat="1" ht="39" thickBot="1">
      <c r="A76" s="61">
        <v>60</v>
      </c>
      <c r="B76" s="236"/>
      <c r="C76" s="237"/>
      <c r="D76" s="62" t="s">
        <v>182</v>
      </c>
      <c r="E76" s="33" t="s">
        <v>183</v>
      </c>
      <c r="F76" s="33" t="s">
        <v>89</v>
      </c>
      <c r="G76" s="63" t="s">
        <v>184</v>
      </c>
      <c r="H76" s="23" t="s">
        <v>185</v>
      </c>
      <c r="I76" s="33"/>
      <c r="J76" s="60">
        <v>20</v>
      </c>
      <c r="K76" s="12">
        <v>19510</v>
      </c>
      <c r="L76" s="12"/>
      <c r="M76" s="12"/>
      <c r="N76" s="12"/>
      <c r="O76" s="12"/>
      <c r="P76" s="12"/>
      <c r="Q76" s="85"/>
      <c r="R76" s="117">
        <v>19520</v>
      </c>
      <c r="S76" s="90">
        <f t="shared" si="4"/>
        <v>390400</v>
      </c>
      <c r="T76" s="92">
        <f>46305*1.16</f>
        <v>53713.799999999996</v>
      </c>
      <c r="U76" s="93">
        <f t="shared" si="5"/>
        <v>1074276</v>
      </c>
      <c r="V76" s="112">
        <v>0</v>
      </c>
      <c r="W76" s="110"/>
      <c r="X76" s="96">
        <v>5701</v>
      </c>
      <c r="Y76" s="96">
        <f t="shared" si="1"/>
        <v>114020</v>
      </c>
      <c r="Z76" s="97">
        <v>1200000</v>
      </c>
      <c r="AA76" s="97">
        <f t="shared" si="2"/>
        <v>24000000</v>
      </c>
      <c r="AB76" s="98">
        <v>18300</v>
      </c>
      <c r="AC76" s="99">
        <f t="shared" si="11"/>
        <v>424559.99999999994</v>
      </c>
      <c r="AD76" s="131"/>
      <c r="AE76" s="100">
        <f>AVERAGE(S76,U76,W76,Y76,AC76)</f>
        <v>500814</v>
      </c>
      <c r="AF76" s="118">
        <f>MIN(S76,U76,W76,Y76,AA76,AC76)</f>
        <v>114020</v>
      </c>
    </row>
    <row r="77" spans="1:33" s="1" customFormat="1" ht="12.75">
      <c r="A77" s="61">
        <v>61</v>
      </c>
      <c r="B77" s="236"/>
      <c r="C77" s="237"/>
      <c r="D77" s="81" t="s">
        <v>174</v>
      </c>
      <c r="E77" s="82" t="s">
        <v>158</v>
      </c>
      <c r="F77" s="82" t="s">
        <v>89</v>
      </c>
      <c r="G77" s="82"/>
      <c r="H77" s="77"/>
      <c r="I77" s="82"/>
      <c r="J77" s="83">
        <v>200</v>
      </c>
      <c r="K77" s="70"/>
      <c r="L77" s="70"/>
      <c r="M77" s="70"/>
      <c r="N77" s="70"/>
      <c r="O77" s="70"/>
      <c r="P77" s="70"/>
      <c r="Q77" s="86"/>
      <c r="R77" s="119">
        <v>0</v>
      </c>
      <c r="S77" s="110"/>
      <c r="T77" s="92">
        <f>1929*1.16</f>
        <v>2237.64</v>
      </c>
      <c r="U77" s="93">
        <f t="shared" ref="U77:U78" si="13">T77*J77</f>
        <v>447528</v>
      </c>
      <c r="V77" s="112">
        <v>0</v>
      </c>
      <c r="W77" s="110"/>
      <c r="X77" s="96">
        <v>920</v>
      </c>
      <c r="Y77" s="96">
        <f t="shared" ref="Y77:Y78" si="14">+X77*J77</f>
        <v>184000</v>
      </c>
      <c r="Z77" s="97">
        <v>20000</v>
      </c>
      <c r="AA77" s="97">
        <f t="shared" ref="AA77:AA78" si="15">J77*Z77</f>
        <v>4000000</v>
      </c>
      <c r="AB77" s="98">
        <v>976</v>
      </c>
      <c r="AC77" s="98">
        <f t="shared" si="11"/>
        <v>226431.99999999997</v>
      </c>
      <c r="AD77" s="134"/>
      <c r="AE77" s="100">
        <f>AVERAGE(U77,Y77,AC77)</f>
        <v>285986.66666666669</v>
      </c>
      <c r="AF77" s="118">
        <f>MIN(S77,U77,W77,Y77,AA77,AC77)</f>
        <v>184000</v>
      </c>
    </row>
    <row r="78" spans="1:33" s="1" customFormat="1" ht="26.25" thickBot="1">
      <c r="A78" s="64">
        <v>62</v>
      </c>
      <c r="B78" s="238"/>
      <c r="C78" s="239"/>
      <c r="D78" s="138" t="s">
        <v>186</v>
      </c>
      <c r="E78" s="139" t="s">
        <v>187</v>
      </c>
      <c r="F78" s="139" t="s">
        <v>97</v>
      </c>
      <c r="G78" s="139" t="s">
        <v>98</v>
      </c>
      <c r="H78" s="139" t="s">
        <v>99</v>
      </c>
      <c r="I78" s="139"/>
      <c r="J78" s="140">
        <v>1000</v>
      </c>
      <c r="K78" s="182">
        <v>4580</v>
      </c>
      <c r="L78" s="182">
        <v>2375</v>
      </c>
      <c r="M78" s="182">
        <v>1050</v>
      </c>
      <c r="N78" s="182">
        <v>614</v>
      </c>
      <c r="O78" s="182">
        <v>399</v>
      </c>
      <c r="P78" s="182">
        <v>293</v>
      </c>
      <c r="Q78" s="183"/>
      <c r="R78" s="121">
        <v>1050</v>
      </c>
      <c r="S78" s="122">
        <f t="shared" ref="S78" si="16">+R78*J78</f>
        <v>1050000</v>
      </c>
      <c r="T78" s="123">
        <f>816*1.16</f>
        <v>946.56</v>
      </c>
      <c r="U78" s="124">
        <f t="shared" si="13"/>
        <v>946560</v>
      </c>
      <c r="V78" s="125">
        <v>912</v>
      </c>
      <c r="W78" s="126">
        <f t="shared" ref="W78" si="17">V78*J78</f>
        <v>912000</v>
      </c>
      <c r="X78" s="127">
        <v>315</v>
      </c>
      <c r="Y78" s="127">
        <f t="shared" si="14"/>
        <v>315000</v>
      </c>
      <c r="Z78" s="128">
        <v>1100</v>
      </c>
      <c r="AA78" s="128">
        <f t="shared" si="15"/>
        <v>1100000</v>
      </c>
      <c r="AB78" s="129">
        <v>389</v>
      </c>
      <c r="AC78" s="129">
        <f t="shared" si="11"/>
        <v>451239.99999999994</v>
      </c>
      <c r="AD78" s="114"/>
      <c r="AE78" s="132">
        <f>AVERAGE(S78,U78,W78,AA78,AC78)</f>
        <v>891960</v>
      </c>
      <c r="AF78" s="133">
        <f>MIN(S78,U78,W78,Y78,AA78,AC78)</f>
        <v>315000</v>
      </c>
    </row>
    <row r="79" spans="1:33" s="1" customFormat="1" ht="27.75" customHeight="1" thickBot="1">
      <c r="A79" s="206" t="s">
        <v>208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8"/>
      <c r="AD79" s="114"/>
      <c r="AE79" s="203">
        <f>SUM(AE75:AE78)</f>
        <v>1947464.6666666667</v>
      </c>
    </row>
    <row r="80" spans="1:33" s="1" customFormat="1" ht="36.75" customHeight="1" thickBot="1">
      <c r="Q80" s="190" t="s">
        <v>188</v>
      </c>
      <c r="R80" s="279" t="s">
        <v>216</v>
      </c>
      <c r="S80" s="191">
        <f>SUM(S8:S78)</f>
        <v>189662460</v>
      </c>
      <c r="T80" s="192" t="s">
        <v>190</v>
      </c>
      <c r="U80" s="192">
        <f>SUM(U8:U78)</f>
        <v>252769799.64000002</v>
      </c>
      <c r="V80" s="280" t="s">
        <v>217</v>
      </c>
      <c r="W80" s="193">
        <f>SUM(W8:W78)</f>
        <v>124193180</v>
      </c>
      <c r="X80" s="281" t="s">
        <v>218</v>
      </c>
      <c r="Y80" s="194">
        <f>SUM(Y8:Y78)</f>
        <v>143575210</v>
      </c>
      <c r="Z80" s="195" t="s">
        <v>190</v>
      </c>
      <c r="AA80" s="195">
        <f>SUM(AA8:AA78)</f>
        <v>623379500</v>
      </c>
      <c r="AB80" s="282" t="s">
        <v>219</v>
      </c>
      <c r="AC80" s="196">
        <f>SUM(AC8:AC78)</f>
        <v>149119796.40000001</v>
      </c>
      <c r="AD80" s="114"/>
      <c r="AE80" s="203">
        <f>SUM(AE31+AE46+AE56+AE74+AE79)</f>
        <v>206157997.27666661</v>
      </c>
    </row>
    <row r="81" spans="1:30" s="1" customFormat="1" ht="15.75">
      <c r="Q81" s="87" t="s">
        <v>189</v>
      </c>
      <c r="R81" s="89"/>
      <c r="AD81" s="114"/>
    </row>
    <row r="82" spans="1:30" s="1" customFormat="1" ht="15.75">
      <c r="Q82" s="87" t="s">
        <v>190</v>
      </c>
      <c r="R82" s="88"/>
      <c r="AD82" s="114"/>
    </row>
    <row r="83" spans="1:30" s="1" customFormat="1">
      <c r="AD83" s="114"/>
    </row>
    <row r="84" spans="1:30" s="1" customFormat="1" ht="51">
      <c r="C84" s="65" t="s">
        <v>191</v>
      </c>
      <c r="AD84" s="114"/>
    </row>
    <row r="85" spans="1:30" s="1" customFormat="1">
      <c r="AD85" s="114"/>
    </row>
    <row r="86" spans="1:30" s="1" customFormat="1" ht="12.75">
      <c r="A86" s="3"/>
      <c r="B86" s="3"/>
      <c r="C86" s="3"/>
      <c r="E86" s="3"/>
      <c r="F86" s="3"/>
      <c r="G86" s="3"/>
      <c r="H86" s="3"/>
      <c r="I86" s="3"/>
      <c r="J86" s="3"/>
      <c r="AD86" s="114"/>
    </row>
    <row r="87" spans="1:30" s="1" customFormat="1" ht="12.75">
      <c r="A87" s="3"/>
      <c r="B87" s="3"/>
      <c r="C87" s="3"/>
      <c r="E87" s="3"/>
      <c r="F87" s="3"/>
      <c r="G87" s="3"/>
      <c r="H87" s="3"/>
      <c r="I87" s="3"/>
      <c r="J87" s="3"/>
      <c r="AD87" s="114"/>
    </row>
    <row r="88" spans="1:30" s="1" customFormat="1" ht="4.5" customHeight="1">
      <c r="A88" s="3"/>
      <c r="B88" s="3"/>
      <c r="C88" s="3"/>
      <c r="E88" s="3"/>
      <c r="F88" s="3"/>
      <c r="G88" s="3"/>
      <c r="H88" s="3"/>
      <c r="I88" s="3"/>
      <c r="J88" s="3"/>
      <c r="AD88" s="114"/>
    </row>
    <row r="89" spans="1:30" s="1" customFormat="1">
      <c r="AD89" s="114"/>
    </row>
    <row r="90" spans="1:30" s="1" customFormat="1">
      <c r="AD90" s="114"/>
    </row>
    <row r="91" spans="1:30" s="1" customFormat="1">
      <c r="AD91" s="114"/>
    </row>
    <row r="92" spans="1:30" s="1" customFormat="1">
      <c r="AD92" s="114"/>
    </row>
    <row r="93" spans="1:30" s="1" customFormat="1">
      <c r="AD93" s="114"/>
    </row>
    <row r="94" spans="1:30" s="1" customFormat="1">
      <c r="AD94" s="114"/>
    </row>
    <row r="95" spans="1:30" s="1" customFormat="1">
      <c r="AD95" s="114"/>
    </row>
    <row r="96" spans="1:30" s="1" customFormat="1">
      <c r="AD96" s="114"/>
    </row>
    <row r="97" spans="30:30" s="1" customFormat="1">
      <c r="AD97" s="114"/>
    </row>
    <row r="98" spans="30:30" s="1" customFormat="1">
      <c r="AD98" s="114"/>
    </row>
    <row r="99" spans="30:30" s="1" customFormat="1">
      <c r="AD99" s="114"/>
    </row>
    <row r="100" spans="30:30" s="1" customFormat="1">
      <c r="AD100" s="114"/>
    </row>
    <row r="101" spans="30:30" s="1" customFormat="1">
      <c r="AD101" s="114"/>
    </row>
    <row r="102" spans="30:30" s="1" customFormat="1">
      <c r="AD102" s="114"/>
    </row>
    <row r="103" spans="30:30" s="1" customFormat="1">
      <c r="AD103" s="114"/>
    </row>
    <row r="104" spans="30:30" s="1" customFormat="1">
      <c r="AD104" s="114"/>
    </row>
    <row r="105" spans="30:30" s="1" customFormat="1">
      <c r="AD105" s="114"/>
    </row>
    <row r="106" spans="30:30" s="1" customFormat="1">
      <c r="AD106" s="114"/>
    </row>
    <row r="107" spans="30:30" s="1" customFormat="1">
      <c r="AD107" s="114"/>
    </row>
    <row r="108" spans="30:30" s="1" customFormat="1">
      <c r="AD108" s="114"/>
    </row>
    <row r="109" spans="30:30" s="1" customFormat="1">
      <c r="AD109" s="114"/>
    </row>
    <row r="110" spans="30:30" s="1" customFormat="1">
      <c r="AD110" s="114"/>
    </row>
    <row r="111" spans="30:30" s="1" customFormat="1">
      <c r="AD111" s="114"/>
    </row>
    <row r="112" spans="30:30" s="1" customFormat="1">
      <c r="AD112" s="114"/>
    </row>
    <row r="113" spans="30:30" s="1" customFormat="1">
      <c r="AD113" s="114"/>
    </row>
    <row r="114" spans="30:30" s="1" customFormat="1">
      <c r="AD114" s="114"/>
    </row>
    <row r="115" spans="30:30" s="1" customFormat="1">
      <c r="AD115" s="114"/>
    </row>
    <row r="116" spans="30:30" s="1" customFormat="1">
      <c r="AD116" s="114"/>
    </row>
    <row r="117" spans="30:30" s="1" customFormat="1">
      <c r="AD117" s="114"/>
    </row>
    <row r="118" spans="30:30" s="1" customFormat="1">
      <c r="AD118" s="114"/>
    </row>
    <row r="119" spans="30:30" s="1" customFormat="1">
      <c r="AD119" s="114"/>
    </row>
    <row r="120" spans="30:30" s="1" customFormat="1">
      <c r="AD120" s="114"/>
    </row>
    <row r="121" spans="30:30" s="1" customFormat="1">
      <c r="AD121" s="114"/>
    </row>
    <row r="122" spans="30:30" s="1" customFormat="1">
      <c r="AD122" s="114"/>
    </row>
    <row r="123" spans="30:30" s="1" customFormat="1">
      <c r="AD123" s="114"/>
    </row>
    <row r="124" spans="30:30" s="1" customFormat="1">
      <c r="AD124" s="114"/>
    </row>
    <row r="125" spans="30:30" s="1" customFormat="1">
      <c r="AD125" s="114"/>
    </row>
    <row r="126" spans="30:30" s="1" customFormat="1">
      <c r="AD126" s="114"/>
    </row>
    <row r="127" spans="30:30" s="1" customFormat="1">
      <c r="AD127" s="114"/>
    </row>
    <row r="128" spans="30:30" s="1" customFormat="1">
      <c r="AD128" s="114"/>
    </row>
    <row r="129" spans="30:30" s="1" customFormat="1">
      <c r="AD129" s="114"/>
    </row>
    <row r="130" spans="30:30" s="1" customFormat="1">
      <c r="AD130" s="114"/>
    </row>
    <row r="131" spans="30:30" s="1" customFormat="1">
      <c r="AD131" s="114"/>
    </row>
    <row r="132" spans="30:30" s="1" customFormat="1">
      <c r="AD132" s="114"/>
    </row>
    <row r="133" spans="30:30" s="1" customFormat="1">
      <c r="AD133" s="114"/>
    </row>
    <row r="134" spans="30:30" s="1" customFormat="1">
      <c r="AD134" s="114"/>
    </row>
    <row r="135" spans="30:30" s="1" customFormat="1">
      <c r="AD135" s="114"/>
    </row>
    <row r="136" spans="30:30" s="1" customFormat="1">
      <c r="AD136" s="114"/>
    </row>
    <row r="137" spans="30:30" s="1" customFormat="1">
      <c r="AD137" s="114"/>
    </row>
    <row r="138" spans="30:30" s="1" customFormat="1">
      <c r="AD138" s="114"/>
    </row>
    <row r="139" spans="30:30" s="1" customFormat="1">
      <c r="AD139" s="114"/>
    </row>
    <row r="140" spans="30:30" s="1" customFormat="1">
      <c r="AD140" s="114"/>
    </row>
    <row r="141" spans="30:30" s="1" customFormat="1">
      <c r="AD141" s="114"/>
    </row>
    <row r="142" spans="30:30" s="1" customFormat="1">
      <c r="AD142" s="114"/>
    </row>
    <row r="143" spans="30:30" s="1" customFormat="1">
      <c r="AD143" s="114"/>
    </row>
    <row r="144" spans="30:30" s="1" customFormat="1">
      <c r="AD144" s="114"/>
    </row>
    <row r="145" spans="30:30" s="1" customFormat="1">
      <c r="AD145" s="114"/>
    </row>
    <row r="146" spans="30:30" s="1" customFormat="1">
      <c r="AD146" s="114"/>
    </row>
    <row r="147" spans="30:30" s="1" customFormat="1">
      <c r="AD147" s="114"/>
    </row>
    <row r="148" spans="30:30" s="1" customFormat="1">
      <c r="AD148" s="114"/>
    </row>
    <row r="149" spans="30:30" s="1" customFormat="1">
      <c r="AD149" s="114"/>
    </row>
    <row r="150" spans="30:30" s="1" customFormat="1">
      <c r="AD150" s="114"/>
    </row>
    <row r="151" spans="30:30" s="1" customFormat="1">
      <c r="AD151" s="114"/>
    </row>
    <row r="152" spans="30:30" s="1" customFormat="1">
      <c r="AD152" s="114"/>
    </row>
    <row r="153" spans="30:30" s="1" customFormat="1">
      <c r="AD153" s="114"/>
    </row>
    <row r="154" spans="30:30" s="1" customFormat="1">
      <c r="AD154" s="114"/>
    </row>
    <row r="155" spans="30:30" s="1" customFormat="1">
      <c r="AD155" s="114"/>
    </row>
    <row r="156" spans="30:30" s="1" customFormat="1">
      <c r="AD156" s="114"/>
    </row>
    <row r="157" spans="30:30" s="1" customFormat="1">
      <c r="AD157" s="114"/>
    </row>
    <row r="158" spans="30:30" s="1" customFormat="1">
      <c r="AD158" s="114"/>
    </row>
    <row r="159" spans="30:30" s="1" customFormat="1">
      <c r="AD159" s="114"/>
    </row>
    <row r="160" spans="30:30" s="1" customFormat="1">
      <c r="AD160" s="114"/>
    </row>
    <row r="161" spans="30:30" s="1" customFormat="1">
      <c r="AD161" s="114"/>
    </row>
    <row r="162" spans="30:30" s="1" customFormat="1">
      <c r="AD162" s="114"/>
    </row>
    <row r="163" spans="30:30" s="1" customFormat="1">
      <c r="AD163" s="114"/>
    </row>
    <row r="164" spans="30:30" s="1" customFormat="1">
      <c r="AD164" s="114"/>
    </row>
    <row r="165" spans="30:30" s="1" customFormat="1">
      <c r="AD165" s="114"/>
    </row>
    <row r="166" spans="30:30" s="1" customFormat="1">
      <c r="AD166" s="114"/>
    </row>
    <row r="167" spans="30:30" s="1" customFormat="1">
      <c r="AD167" s="114"/>
    </row>
    <row r="168" spans="30:30" s="1" customFormat="1">
      <c r="AD168" s="114"/>
    </row>
    <row r="169" spans="30:30" s="1" customFormat="1">
      <c r="AD169" s="114"/>
    </row>
    <row r="170" spans="30:30" s="1" customFormat="1">
      <c r="AD170" s="114"/>
    </row>
    <row r="171" spans="30:30" s="1" customFormat="1">
      <c r="AD171" s="114"/>
    </row>
    <row r="172" spans="30:30" s="1" customFormat="1">
      <c r="AD172" s="114"/>
    </row>
    <row r="173" spans="30:30" s="1" customFormat="1">
      <c r="AD173" s="114"/>
    </row>
    <row r="174" spans="30:30" s="1" customFormat="1">
      <c r="AD174" s="114"/>
    </row>
    <row r="175" spans="30:30" s="1" customFormat="1">
      <c r="AD175" s="114"/>
    </row>
    <row r="176" spans="30:30" s="1" customFormat="1">
      <c r="AD176" s="114"/>
    </row>
    <row r="177" spans="30:30" s="1" customFormat="1">
      <c r="AD177" s="114"/>
    </row>
    <row r="178" spans="30:30" s="1" customFormat="1">
      <c r="AD178" s="114"/>
    </row>
    <row r="179" spans="30:30" s="1" customFormat="1">
      <c r="AD179" s="114"/>
    </row>
    <row r="180" spans="30:30" s="1" customFormat="1">
      <c r="AD180" s="114"/>
    </row>
    <row r="181" spans="30:30" s="1" customFormat="1">
      <c r="AD181" s="114"/>
    </row>
    <row r="182" spans="30:30" s="1" customFormat="1">
      <c r="AD182" s="114"/>
    </row>
    <row r="183" spans="30:30" s="1" customFormat="1">
      <c r="AD183" s="114"/>
    </row>
    <row r="184" spans="30:30" s="1" customFormat="1">
      <c r="AD184" s="114"/>
    </row>
    <row r="185" spans="30:30" s="1" customFormat="1">
      <c r="AD185" s="114"/>
    </row>
    <row r="186" spans="30:30" s="1" customFormat="1">
      <c r="AD186" s="114"/>
    </row>
    <row r="187" spans="30:30" s="1" customFormat="1">
      <c r="AD187" s="114"/>
    </row>
    <row r="188" spans="30:30" s="1" customFormat="1">
      <c r="AD188" s="114"/>
    </row>
    <row r="189" spans="30:30" s="1" customFormat="1">
      <c r="AD189" s="114"/>
    </row>
    <row r="190" spans="30:30" s="1" customFormat="1">
      <c r="AD190" s="114"/>
    </row>
    <row r="191" spans="30:30" s="1" customFormat="1">
      <c r="AD191" s="114"/>
    </row>
    <row r="192" spans="30:30" s="1" customFormat="1">
      <c r="AD192" s="114"/>
    </row>
    <row r="193" spans="30:30" s="1" customFormat="1">
      <c r="AD193" s="114"/>
    </row>
    <row r="194" spans="30:30" s="1" customFormat="1">
      <c r="AD194" s="114"/>
    </row>
    <row r="195" spans="30:30" s="1" customFormat="1">
      <c r="AD195" s="114"/>
    </row>
    <row r="196" spans="30:30" s="1" customFormat="1">
      <c r="AD196" s="114"/>
    </row>
    <row r="197" spans="30:30" s="1" customFormat="1">
      <c r="AD197" s="114"/>
    </row>
    <row r="198" spans="30:30" s="1" customFormat="1">
      <c r="AD198" s="114"/>
    </row>
    <row r="199" spans="30:30" s="1" customFormat="1">
      <c r="AD199" s="114"/>
    </row>
    <row r="200" spans="30:30" s="1" customFormat="1">
      <c r="AD200" s="114"/>
    </row>
    <row r="201" spans="30:30" s="1" customFormat="1">
      <c r="AD201" s="114"/>
    </row>
    <row r="202" spans="30:30" s="1" customFormat="1">
      <c r="AD202" s="114"/>
    </row>
    <row r="203" spans="30:30" s="1" customFormat="1">
      <c r="AD203" s="114"/>
    </row>
    <row r="204" spans="30:30" s="1" customFormat="1">
      <c r="AD204" s="114"/>
    </row>
    <row r="205" spans="30:30" s="1" customFormat="1">
      <c r="AD205" s="114"/>
    </row>
    <row r="206" spans="30:30" s="1" customFormat="1">
      <c r="AD206" s="114"/>
    </row>
    <row r="207" spans="30:30" s="1" customFormat="1">
      <c r="AD207" s="114"/>
    </row>
    <row r="208" spans="30:30" s="1" customFormat="1">
      <c r="AD208" s="114"/>
    </row>
    <row r="209" spans="30:30" s="1" customFormat="1">
      <c r="AD209" s="114"/>
    </row>
    <row r="210" spans="30:30" s="1" customFormat="1">
      <c r="AD210" s="114"/>
    </row>
    <row r="211" spans="30:30" s="1" customFormat="1">
      <c r="AD211" s="114"/>
    </row>
    <row r="212" spans="30:30" s="1" customFormat="1">
      <c r="AD212" s="114"/>
    </row>
    <row r="213" spans="30:30" s="1" customFormat="1">
      <c r="AD213" s="114"/>
    </row>
    <row r="214" spans="30:30" s="1" customFormat="1">
      <c r="AD214" s="114"/>
    </row>
    <row r="215" spans="30:30" s="1" customFormat="1">
      <c r="AD215" s="114"/>
    </row>
    <row r="216" spans="30:30" s="1" customFormat="1">
      <c r="AD216" s="114"/>
    </row>
    <row r="217" spans="30:30" s="1" customFormat="1">
      <c r="AD217" s="114"/>
    </row>
    <row r="218" spans="30:30" s="1" customFormat="1">
      <c r="AD218" s="114"/>
    </row>
    <row r="219" spans="30:30" s="1" customFormat="1">
      <c r="AD219" s="114"/>
    </row>
    <row r="220" spans="30:30" s="1" customFormat="1">
      <c r="AD220" s="114"/>
    </row>
    <row r="221" spans="30:30" s="1" customFormat="1">
      <c r="AD221" s="114"/>
    </row>
    <row r="222" spans="30:30" s="1" customFormat="1">
      <c r="AD222" s="114"/>
    </row>
    <row r="223" spans="30:30" s="1" customFormat="1">
      <c r="AD223" s="114"/>
    </row>
    <row r="224" spans="30:30" s="1" customFormat="1">
      <c r="AD224" s="114"/>
    </row>
    <row r="225" spans="30:30" s="1" customFormat="1">
      <c r="AD225" s="114"/>
    </row>
    <row r="226" spans="30:30" s="1" customFormat="1">
      <c r="AD226" s="114"/>
    </row>
    <row r="227" spans="30:30" s="1" customFormat="1">
      <c r="AD227" s="114"/>
    </row>
    <row r="228" spans="30:30" s="1" customFormat="1">
      <c r="AD228" s="114"/>
    </row>
    <row r="229" spans="30:30" s="1" customFormat="1">
      <c r="AD229" s="114"/>
    </row>
    <row r="230" spans="30:30" s="1" customFormat="1">
      <c r="AD230" s="114"/>
    </row>
    <row r="231" spans="30:30" s="1" customFormat="1">
      <c r="AD231" s="114"/>
    </row>
    <row r="232" spans="30:30" s="1" customFormat="1">
      <c r="AD232" s="114"/>
    </row>
    <row r="233" spans="30:30" s="1" customFormat="1">
      <c r="AD233" s="114"/>
    </row>
    <row r="234" spans="30:30" s="1" customFormat="1">
      <c r="AD234" s="114"/>
    </row>
    <row r="235" spans="30:30" s="1" customFormat="1">
      <c r="AD235" s="114"/>
    </row>
    <row r="236" spans="30:30" s="1" customFormat="1">
      <c r="AD236" s="114"/>
    </row>
    <row r="237" spans="30:30" s="1" customFormat="1">
      <c r="AD237" s="114"/>
    </row>
    <row r="238" spans="30:30" s="1" customFormat="1">
      <c r="AD238" s="114"/>
    </row>
    <row r="239" spans="30:30" s="1" customFormat="1">
      <c r="AD239" s="114"/>
    </row>
    <row r="240" spans="30:30" s="1" customFormat="1">
      <c r="AD240" s="114"/>
    </row>
    <row r="241" spans="30:30" s="1" customFormat="1">
      <c r="AD241" s="114"/>
    </row>
    <row r="242" spans="30:30" s="1" customFormat="1">
      <c r="AD242" s="114"/>
    </row>
    <row r="243" spans="30:30" s="1" customFormat="1">
      <c r="AD243" s="114"/>
    </row>
    <row r="244" spans="30:30" s="1" customFormat="1">
      <c r="AD244" s="114"/>
    </row>
    <row r="245" spans="30:30" s="1" customFormat="1">
      <c r="AD245" s="114"/>
    </row>
    <row r="246" spans="30:30" s="1" customFormat="1">
      <c r="AD246" s="114"/>
    </row>
    <row r="247" spans="30:30" s="1" customFormat="1">
      <c r="AD247" s="114"/>
    </row>
    <row r="248" spans="30:30" s="1" customFormat="1">
      <c r="AD248" s="114"/>
    </row>
    <row r="249" spans="30:30" s="1" customFormat="1">
      <c r="AD249" s="114"/>
    </row>
    <row r="250" spans="30:30" s="1" customFormat="1">
      <c r="AD250" s="114"/>
    </row>
    <row r="251" spans="30:30" s="1" customFormat="1">
      <c r="AD251" s="114"/>
    </row>
    <row r="252" spans="30:30" s="1" customFormat="1">
      <c r="AD252" s="114"/>
    </row>
    <row r="253" spans="30:30" s="1" customFormat="1">
      <c r="AD253" s="114"/>
    </row>
    <row r="254" spans="30:30" s="1" customFormat="1">
      <c r="AD254" s="114"/>
    </row>
    <row r="255" spans="30:30" s="1" customFormat="1">
      <c r="AD255" s="114"/>
    </row>
    <row r="256" spans="30:30" s="1" customFormat="1">
      <c r="AD256" s="114"/>
    </row>
    <row r="257" spans="30:30" s="1" customFormat="1">
      <c r="AD257" s="114"/>
    </row>
    <row r="258" spans="30:30" s="1" customFormat="1">
      <c r="AD258" s="114"/>
    </row>
    <row r="259" spans="30:30" s="1" customFormat="1">
      <c r="AD259" s="114"/>
    </row>
    <row r="260" spans="30:30" s="1" customFormat="1">
      <c r="AD260" s="114"/>
    </row>
    <row r="261" spans="30:30" s="1" customFormat="1">
      <c r="AD261" s="114"/>
    </row>
    <row r="262" spans="30:30" s="1" customFormat="1">
      <c r="AD262" s="114"/>
    </row>
    <row r="263" spans="30:30" s="1" customFormat="1">
      <c r="AD263" s="114"/>
    </row>
    <row r="264" spans="30:30" s="1" customFormat="1">
      <c r="AD264" s="114"/>
    </row>
    <row r="265" spans="30:30" s="1" customFormat="1">
      <c r="AD265" s="114"/>
    </row>
    <row r="266" spans="30:30" s="1" customFormat="1">
      <c r="AD266" s="114"/>
    </row>
    <row r="267" spans="30:30" s="1" customFormat="1">
      <c r="AD267" s="114"/>
    </row>
    <row r="268" spans="30:30" s="1" customFormat="1">
      <c r="AD268" s="114"/>
    </row>
    <row r="269" spans="30:30" s="1" customFormat="1">
      <c r="AD269" s="114"/>
    </row>
    <row r="270" spans="30:30" s="1" customFormat="1">
      <c r="AD270" s="114"/>
    </row>
    <row r="271" spans="30:30" s="1" customFormat="1">
      <c r="AD271" s="114"/>
    </row>
    <row r="272" spans="30:30" s="1" customFormat="1">
      <c r="AD272" s="114"/>
    </row>
    <row r="273" spans="30:30" s="1" customFormat="1">
      <c r="AD273" s="114"/>
    </row>
    <row r="274" spans="30:30" s="1" customFormat="1">
      <c r="AD274" s="114"/>
    </row>
    <row r="275" spans="30:30" s="1" customFormat="1">
      <c r="AD275" s="114"/>
    </row>
    <row r="276" spans="30:30" s="1" customFormat="1">
      <c r="AD276" s="114"/>
    </row>
    <row r="277" spans="30:30" s="1" customFormat="1">
      <c r="AD277" s="114"/>
    </row>
    <row r="278" spans="30:30" s="1" customFormat="1">
      <c r="AD278" s="114"/>
    </row>
    <row r="279" spans="30:30" s="1" customFormat="1">
      <c r="AD279" s="114"/>
    </row>
    <row r="280" spans="30:30" s="1" customFormat="1">
      <c r="AD280" s="114"/>
    </row>
    <row r="281" spans="30:30" s="1" customFormat="1">
      <c r="AD281" s="114"/>
    </row>
    <row r="282" spans="30:30" s="1" customFormat="1">
      <c r="AD282" s="114"/>
    </row>
    <row r="283" spans="30:30" s="1" customFormat="1">
      <c r="AD283" s="114"/>
    </row>
    <row r="284" spans="30:30" s="1" customFormat="1">
      <c r="AD284" s="114"/>
    </row>
    <row r="285" spans="30:30" s="1" customFormat="1">
      <c r="AD285" s="114"/>
    </row>
    <row r="286" spans="30:30" s="1" customFormat="1">
      <c r="AD286" s="114"/>
    </row>
    <row r="287" spans="30:30" s="1" customFormat="1">
      <c r="AD287" s="114"/>
    </row>
    <row r="288" spans="30:30" s="1" customFormat="1">
      <c r="AD288" s="114"/>
    </row>
    <row r="289" spans="1:30" s="1" customFormat="1">
      <c r="AD289" s="114"/>
    </row>
    <row r="290" spans="1:30" s="1" customFormat="1">
      <c r="AD290" s="114"/>
    </row>
    <row r="291" spans="1:30" s="1" customFormat="1">
      <c r="AD291" s="114"/>
    </row>
    <row r="292" spans="1:30" s="1" customFormat="1">
      <c r="AD292" s="114"/>
    </row>
    <row r="293" spans="1:30" s="1" customFormat="1">
      <c r="AD293" s="114"/>
    </row>
    <row r="294" spans="1:30" s="1" customFormat="1">
      <c r="AD294" s="114"/>
    </row>
    <row r="295" spans="1:30" s="1" customFormat="1">
      <c r="AD295" s="114"/>
    </row>
    <row r="296" spans="1:30" s="1" customFormat="1">
      <c r="AD296" s="114"/>
    </row>
    <row r="297" spans="1:30" s="1" customFormat="1">
      <c r="AD297" s="114"/>
    </row>
    <row r="298" spans="1:30" s="1" customFormat="1">
      <c r="AD298" s="114"/>
    </row>
    <row r="299" spans="1:30" s="1" customFormat="1">
      <c r="AD299" s="114"/>
    </row>
    <row r="300" spans="1:30" s="1" customFormat="1">
      <c r="AD300" s="114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</sheetData>
  <autoFilter ref="A7:T82">
    <filterColumn colId="1" showButton="0"/>
  </autoFilter>
  <mergeCells count="24">
    <mergeCell ref="A56:AC56"/>
    <mergeCell ref="A74:AC74"/>
    <mergeCell ref="A79:AC79"/>
    <mergeCell ref="B32:C45"/>
    <mergeCell ref="E45:H45"/>
    <mergeCell ref="B75:C78"/>
    <mergeCell ref="B47:C55"/>
    <mergeCell ref="B57:B73"/>
    <mergeCell ref="C57:C62"/>
    <mergeCell ref="C63:C68"/>
    <mergeCell ref="C69:C73"/>
    <mergeCell ref="B3:AF4"/>
    <mergeCell ref="A31:AC31"/>
    <mergeCell ref="A46:AC46"/>
    <mergeCell ref="AB6:AC6"/>
    <mergeCell ref="AE6:AE7"/>
    <mergeCell ref="AF6:AF7"/>
    <mergeCell ref="R6:S6"/>
    <mergeCell ref="T6:U6"/>
    <mergeCell ref="V6:W6"/>
    <mergeCell ref="Z6:AA6"/>
    <mergeCell ref="X6:Y6"/>
    <mergeCell ref="B7:C7"/>
    <mergeCell ref="B8:C3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workbookViewId="0">
      <selection activeCell="D9" sqref="D9"/>
    </sheetView>
  </sheetViews>
  <sheetFormatPr baseColWidth="10" defaultRowHeight="15"/>
  <cols>
    <col min="4" max="4" width="26.85546875" customWidth="1"/>
    <col min="5" max="5" width="12.42578125" customWidth="1"/>
  </cols>
  <sheetData>
    <row r="2" spans="2:6" ht="15.75" thickBot="1"/>
    <row r="3" spans="2:6" ht="27" customHeight="1" thickBot="1">
      <c r="B3" s="272" t="s">
        <v>196</v>
      </c>
      <c r="C3" s="273"/>
      <c r="D3" s="274"/>
      <c r="E3" s="102" t="s">
        <v>197</v>
      </c>
      <c r="F3" s="107" t="s">
        <v>198</v>
      </c>
    </row>
    <row r="4" spans="2:6" ht="24" customHeight="1" thickBot="1">
      <c r="B4" s="269" t="s">
        <v>199</v>
      </c>
      <c r="C4" s="275" t="s">
        <v>203</v>
      </c>
      <c r="D4" s="276"/>
      <c r="E4" s="108">
        <v>300</v>
      </c>
      <c r="F4" s="256">
        <v>600</v>
      </c>
    </row>
    <row r="5" spans="2:6" ht="25.5" customHeight="1" thickBot="1">
      <c r="B5" s="270"/>
      <c r="C5" s="259" t="s">
        <v>200</v>
      </c>
      <c r="D5" s="260"/>
      <c r="E5" s="109">
        <v>200</v>
      </c>
      <c r="F5" s="257"/>
    </row>
    <row r="6" spans="2:6" ht="25.5" customHeight="1" thickBot="1">
      <c r="B6" s="271"/>
      <c r="C6" s="261" t="s">
        <v>202</v>
      </c>
      <c r="D6" s="262"/>
      <c r="E6" s="109">
        <v>100</v>
      </c>
      <c r="F6" s="258"/>
    </row>
    <row r="7" spans="2:6" ht="15.75" thickBot="1">
      <c r="B7" s="263" t="s">
        <v>201</v>
      </c>
      <c r="C7" s="264"/>
      <c r="D7" s="265"/>
      <c r="E7" s="105">
        <v>400</v>
      </c>
      <c r="F7" s="106"/>
    </row>
    <row r="8" spans="2:6" ht="15.75" thickBot="1">
      <c r="B8" s="266" t="s">
        <v>190</v>
      </c>
      <c r="C8" s="267"/>
      <c r="D8" s="268"/>
      <c r="E8" s="103">
        <v>1000</v>
      </c>
      <c r="F8" s="104"/>
    </row>
  </sheetData>
  <mergeCells count="8">
    <mergeCell ref="B3:D3"/>
    <mergeCell ref="C4:D4"/>
    <mergeCell ref="F4:F6"/>
    <mergeCell ref="C5:D5"/>
    <mergeCell ref="C6:D6"/>
    <mergeCell ref="B7:D7"/>
    <mergeCell ref="B8:D8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REQUERIMIENTOS 2012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jrubiano</dc:creator>
  <cp:lastModifiedBy>gherazo</cp:lastModifiedBy>
  <dcterms:created xsi:type="dcterms:W3CDTF">2012-02-15T19:46:37Z</dcterms:created>
  <dcterms:modified xsi:type="dcterms:W3CDTF">2012-03-15T13:10:21Z</dcterms:modified>
</cp:coreProperties>
</file>